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A_USER\DOC\SOLARNA_elektrarna_SOJERJEVA\"/>
    </mc:Choice>
  </mc:AlternateContent>
  <xr:revisionPtr revIDLastSave="0" documentId="8_{07C6900D-32CB-4D7B-9DA3-DA5814C4F5DE}" xr6:coauthVersionLast="36" xr6:coauthVersionMax="36" xr10:uidLastSave="{00000000-0000-0000-0000-000000000000}"/>
  <bookViews>
    <workbookView xWindow="0" yWindow="0" windowWidth="17140" windowHeight="6670" xr2:uid="{82197A69-6CD2-41EE-983D-2D4D5211328D}"/>
  </bookViews>
  <sheets>
    <sheet name="SE_2023" sheetId="4" r:id="rId1"/>
    <sheet name="SE_2023_WORK" sheetId="2" r:id="rId2"/>
    <sheet name="21_DEC_2024" sheetId="11" r:id="rId3"/>
    <sheet name="Maj_2024" sheetId="10" r:id="rId4"/>
    <sheet name="April_2024" sheetId="9" r:id="rId5"/>
    <sheet name="Marec_2024" sheetId="8" r:id="rId6"/>
    <sheet name="Februar_2024" sheetId="7" r:id="rId7"/>
    <sheet name="Januar_2024" sheetId="6" r:id="rId8"/>
    <sheet name="Pridelek_16jan24" sheetId="3" r:id="rId9"/>
    <sheet name="Pridelek_17jan24" sheetId="5" r:id="rId10"/>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4" l="1"/>
  <c r="I16" i="4" l="1"/>
  <c r="G16" i="4"/>
  <c r="H16" i="4"/>
  <c r="E16" i="4" l="1"/>
  <c r="F41" i="4" l="1"/>
  <c r="F13" i="4" l="1"/>
  <c r="F21" i="4" l="1"/>
  <c r="G15" i="4" l="1"/>
  <c r="F8" i="4" l="1"/>
  <c r="E5" i="4"/>
  <c r="E6" i="4"/>
  <c r="E7" i="4"/>
  <c r="E8" i="4"/>
  <c r="E9" i="4"/>
  <c r="E10" i="4"/>
  <c r="E11" i="4"/>
  <c r="E12" i="4"/>
  <c r="E13" i="4"/>
  <c r="E14" i="4"/>
  <c r="E15"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6" i="4"/>
  <c r="E47" i="4"/>
  <c r="E48" i="4"/>
  <c r="E49" i="4"/>
  <c r="E4" i="4"/>
  <c r="BM48" i="2" l="1"/>
  <c r="BU48" i="2"/>
  <c r="BT48" i="2"/>
  <c r="B48" i="2"/>
  <c r="C48" i="2"/>
  <c r="E48" i="2"/>
  <c r="L48" i="2"/>
  <c r="M48" i="2"/>
  <c r="T48" i="2"/>
  <c r="U48" i="2"/>
  <c r="AG48" i="2"/>
  <c r="AH48" i="2"/>
  <c r="AT48" i="2"/>
  <c r="AU48" i="2"/>
  <c r="BN48" i="2"/>
  <c r="BO48" i="2"/>
  <c r="BP48" i="2"/>
  <c r="BQ48" i="2"/>
  <c r="BR48" i="2"/>
  <c r="BS48" i="2"/>
  <c r="A47" i="2"/>
  <c r="A48" i="2"/>
  <c r="B47" i="2" l="1"/>
  <c r="C47" i="2"/>
  <c r="L47" i="2"/>
  <c r="AT47" i="2" s="1"/>
  <c r="M47" i="2"/>
  <c r="AH47" i="2" s="1"/>
  <c r="T47" i="2"/>
  <c r="U47" i="2"/>
  <c r="BM47" i="2"/>
  <c r="BN47" i="2"/>
  <c r="BO47" i="2"/>
  <c r="BP47" i="2"/>
  <c r="E47" i="2" s="1"/>
  <c r="BQ47" i="2"/>
  <c r="BR47" i="2"/>
  <c r="BS47" i="2"/>
  <c r="G47" i="4"/>
  <c r="I47" i="4"/>
  <c r="AG47" i="2" l="1"/>
  <c r="AU47" i="2"/>
  <c r="C45" i="2" l="1"/>
  <c r="C46" i="2"/>
  <c r="A46" i="2"/>
  <c r="B46" i="2"/>
  <c r="L46" i="2"/>
  <c r="AG46" i="2" s="1"/>
  <c r="M46" i="2"/>
  <c r="AH46" i="2" s="1"/>
  <c r="T46" i="2"/>
  <c r="U46" i="2"/>
  <c r="BM46" i="2"/>
  <c r="BN46" i="2"/>
  <c r="BO46" i="2"/>
  <c r="BP46" i="2"/>
  <c r="E46" i="2" s="1"/>
  <c r="BQ46" i="2"/>
  <c r="BR46" i="2"/>
  <c r="BS46" i="2"/>
  <c r="BU46" i="2"/>
  <c r="AT46" i="2" l="1"/>
  <c r="AU46" i="2"/>
  <c r="A45" i="2"/>
  <c r="B45" i="2"/>
  <c r="L45" i="2"/>
  <c r="AG45" i="2" s="1"/>
  <c r="M45" i="2"/>
  <c r="AH45" i="2" s="1"/>
  <c r="T45" i="2"/>
  <c r="U45" i="2"/>
  <c r="BM45" i="2"/>
  <c r="BN45" i="2"/>
  <c r="BO45" i="2"/>
  <c r="BP45" i="2"/>
  <c r="E45" i="2" s="1"/>
  <c r="BQ45" i="2"/>
  <c r="BR45" i="2"/>
  <c r="BS45" i="2"/>
  <c r="BU45" i="2"/>
  <c r="AU45" i="2" l="1"/>
  <c r="AT45" i="2"/>
  <c r="BO8" i="2"/>
  <c r="BO9" i="2"/>
  <c r="G43" i="4"/>
  <c r="G37" i="4"/>
  <c r="G35" i="4"/>
  <c r="G32" i="4"/>
  <c r="G31" i="4"/>
  <c r="G30" i="4"/>
  <c r="G29" i="4"/>
  <c r="G28" i="4"/>
  <c r="G27" i="4"/>
  <c r="G26" i="4"/>
  <c r="G25" i="4"/>
  <c r="G24" i="4"/>
  <c r="G23" i="4"/>
  <c r="G22" i="4"/>
  <c r="G21" i="4"/>
  <c r="G20" i="4"/>
  <c r="G19" i="4"/>
  <c r="G18" i="4"/>
  <c r="G17" i="4"/>
  <c r="G14" i="4"/>
  <c r="G13" i="4"/>
  <c r="G12" i="4"/>
  <c r="G11" i="4"/>
  <c r="G10" i="4"/>
  <c r="G9" i="4"/>
  <c r="G8" i="4"/>
  <c r="G7" i="4"/>
  <c r="G6" i="4"/>
  <c r="G5" i="4"/>
  <c r="G4" i="4"/>
  <c r="B44" i="2" l="1"/>
  <c r="C44" i="2"/>
  <c r="L44" i="2"/>
  <c r="AG44" i="2" s="1"/>
  <c r="M44" i="2"/>
  <c r="AH44" i="2" s="1"/>
  <c r="T44" i="2"/>
  <c r="U44" i="2"/>
  <c r="BM44" i="2"/>
  <c r="BN44" i="2"/>
  <c r="BO44" i="2"/>
  <c r="BP44" i="2"/>
  <c r="E44" i="2" s="1"/>
  <c r="BQ44" i="2"/>
  <c r="BR44" i="2"/>
  <c r="BS44" i="2"/>
  <c r="BU44" i="2"/>
  <c r="C43" i="2"/>
  <c r="L43" i="2"/>
  <c r="AT43" i="2" s="1"/>
  <c r="M43" i="2"/>
  <c r="AH43" i="2" s="1"/>
  <c r="T43" i="2"/>
  <c r="U43" i="2"/>
  <c r="BM43" i="2"/>
  <c r="BN43" i="2"/>
  <c r="BO43" i="2"/>
  <c r="BP43" i="2"/>
  <c r="BQ43" i="2"/>
  <c r="BR43" i="2"/>
  <c r="BS43" i="2"/>
  <c r="BT43" i="2"/>
  <c r="BU43" i="2"/>
  <c r="A44" i="2"/>
  <c r="I44" i="4"/>
  <c r="AU44" i="2" l="1"/>
  <c r="AJ43" i="2"/>
  <c r="E43" i="2"/>
  <c r="AU43" i="2"/>
  <c r="AT44" i="2"/>
  <c r="AG43" i="2"/>
  <c r="G43" i="2"/>
  <c r="AB43" i="2"/>
  <c r="W43" i="2"/>
  <c r="AO43" i="2"/>
  <c r="O43" i="2"/>
  <c r="T4" i="2"/>
  <c r="U4" i="2"/>
  <c r="T5" i="2"/>
  <c r="U5" i="2"/>
  <c r="T6" i="2"/>
  <c r="U6" i="2"/>
  <c r="T7" i="2"/>
  <c r="U7" i="2"/>
  <c r="T8" i="2"/>
  <c r="U8" i="2"/>
  <c r="T9" i="2"/>
  <c r="U9" i="2"/>
  <c r="T10" i="2"/>
  <c r="U10" i="2"/>
  <c r="T11" i="2"/>
  <c r="U11" i="2"/>
  <c r="T12" i="2"/>
  <c r="U12" i="2"/>
  <c r="T13" i="2"/>
  <c r="U13" i="2"/>
  <c r="T14" i="2"/>
  <c r="U14" i="2"/>
  <c r="T15" i="2"/>
  <c r="U15" i="2"/>
  <c r="T16" i="2"/>
  <c r="U16" i="2"/>
  <c r="T17" i="2"/>
  <c r="U17" i="2"/>
  <c r="T18" i="2"/>
  <c r="U18" i="2"/>
  <c r="T19" i="2"/>
  <c r="U19" i="2"/>
  <c r="T20" i="2"/>
  <c r="U20" i="2"/>
  <c r="T21" i="2"/>
  <c r="U21" i="2"/>
  <c r="X21" i="2"/>
  <c r="T22" i="2"/>
  <c r="U22" i="2"/>
  <c r="T23" i="2"/>
  <c r="U23" i="2"/>
  <c r="T24" i="2"/>
  <c r="U24" i="2"/>
  <c r="T25" i="2"/>
  <c r="U25" i="2"/>
  <c r="T26" i="2"/>
  <c r="U26" i="2"/>
  <c r="T27" i="2"/>
  <c r="U27" i="2"/>
  <c r="T28" i="2"/>
  <c r="U28" i="2"/>
  <c r="T29" i="2"/>
  <c r="U29" i="2"/>
  <c r="T30" i="2"/>
  <c r="U30" i="2"/>
  <c r="T31" i="2"/>
  <c r="U31" i="2"/>
  <c r="T32" i="2"/>
  <c r="U32" i="2"/>
  <c r="X32" i="2"/>
  <c r="T33" i="2"/>
  <c r="U33" i="2"/>
  <c r="T34" i="2"/>
  <c r="U34" i="2"/>
  <c r="T35" i="2"/>
  <c r="U35" i="2"/>
  <c r="T36" i="2"/>
  <c r="U36" i="2"/>
  <c r="T37" i="2"/>
  <c r="U37" i="2"/>
  <c r="T38" i="2"/>
  <c r="U38" i="2"/>
  <c r="T39" i="2"/>
  <c r="U39" i="2"/>
  <c r="T40" i="2"/>
  <c r="U40" i="2"/>
  <c r="T41" i="2"/>
  <c r="U41" i="2"/>
  <c r="T42" i="2"/>
  <c r="U42" i="2"/>
  <c r="L5" i="2"/>
  <c r="M5" i="2"/>
  <c r="L6" i="2"/>
  <c r="M6" i="2"/>
  <c r="L7" i="2"/>
  <c r="M7" i="2"/>
  <c r="L8" i="2"/>
  <c r="M8" i="2"/>
  <c r="L9" i="2"/>
  <c r="M9" i="2"/>
  <c r="L10" i="2"/>
  <c r="M10" i="2"/>
  <c r="L11" i="2"/>
  <c r="M11" i="2"/>
  <c r="L12" i="2"/>
  <c r="M12" i="2"/>
  <c r="L13" i="2"/>
  <c r="M13" i="2"/>
  <c r="L14" i="2"/>
  <c r="M14" i="2"/>
  <c r="L15" i="2"/>
  <c r="M15" i="2"/>
  <c r="L16" i="2"/>
  <c r="M16" i="2"/>
  <c r="L17" i="2"/>
  <c r="M17" i="2"/>
  <c r="L18" i="2"/>
  <c r="M18" i="2"/>
  <c r="L19" i="2"/>
  <c r="M19" i="2"/>
  <c r="L20" i="2"/>
  <c r="M20" i="2"/>
  <c r="L21" i="2"/>
  <c r="M21" i="2"/>
  <c r="L22" i="2"/>
  <c r="M22" i="2"/>
  <c r="L23" i="2"/>
  <c r="M23" i="2"/>
  <c r="L24" i="2"/>
  <c r="M24" i="2"/>
  <c r="L25" i="2"/>
  <c r="M25" i="2"/>
  <c r="L26" i="2"/>
  <c r="M26" i="2"/>
  <c r="L27" i="2"/>
  <c r="M27" i="2"/>
  <c r="L28" i="2"/>
  <c r="M28" i="2"/>
  <c r="L29" i="2"/>
  <c r="M29" i="2"/>
  <c r="L30" i="2"/>
  <c r="M30" i="2"/>
  <c r="L31" i="2"/>
  <c r="M31" i="2"/>
  <c r="L32" i="2"/>
  <c r="M32" i="2"/>
  <c r="L33" i="2"/>
  <c r="M33" i="2"/>
  <c r="L34" i="2"/>
  <c r="M34" i="2"/>
  <c r="L35" i="2"/>
  <c r="M35" i="2"/>
  <c r="L36" i="2"/>
  <c r="M36" i="2"/>
  <c r="L37" i="2"/>
  <c r="M37" i="2"/>
  <c r="L38" i="2"/>
  <c r="M38" i="2"/>
  <c r="L39" i="2"/>
  <c r="M39" i="2"/>
  <c r="L40" i="2"/>
  <c r="M40" i="2"/>
  <c r="L41" i="2"/>
  <c r="M41" i="2"/>
  <c r="L42" i="2"/>
  <c r="M42" i="2"/>
  <c r="M4" i="2"/>
  <c r="L4" i="2"/>
  <c r="A43" i="2"/>
  <c r="B43" i="2"/>
  <c r="J37" i="2" l="1"/>
  <c r="R37" i="2"/>
  <c r="BM42" i="2" l="1"/>
  <c r="BN42" i="2"/>
  <c r="BO42" i="2"/>
  <c r="BP42" i="2"/>
  <c r="E42" i="2" s="1"/>
  <c r="BQ42" i="2"/>
  <c r="BR42" i="2"/>
  <c r="BS42" i="2"/>
  <c r="BT42" i="2"/>
  <c r="BU42" i="2"/>
  <c r="A42" i="2"/>
  <c r="B42" i="2"/>
  <c r="C42" i="2"/>
  <c r="AG42" i="2"/>
  <c r="AH42" i="2"/>
  <c r="O42" i="2" l="1"/>
  <c r="W42" i="2"/>
  <c r="AU42" i="2"/>
  <c r="AT42" i="2"/>
  <c r="AO42" i="2"/>
  <c r="AJ42" i="2"/>
  <c r="G42" i="2"/>
  <c r="AB42" i="2"/>
  <c r="H21" i="2"/>
  <c r="P21" i="2"/>
  <c r="A41" i="10" l="1"/>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B5" i="2"/>
  <c r="C5" i="2"/>
  <c r="B6" i="2"/>
  <c r="C6" i="2"/>
  <c r="B7" i="2"/>
  <c r="C7" i="2"/>
  <c r="B8" i="2"/>
  <c r="C8" i="2"/>
  <c r="B9" i="2"/>
  <c r="C9" i="2"/>
  <c r="B10" i="2"/>
  <c r="C10" i="2"/>
  <c r="B11" i="2"/>
  <c r="C11" i="2"/>
  <c r="B12" i="2"/>
  <c r="C12" i="2"/>
  <c r="B13" i="2"/>
  <c r="C13" i="2"/>
  <c r="B14" i="2"/>
  <c r="C14" i="2"/>
  <c r="B15" i="2"/>
  <c r="C15" i="2"/>
  <c r="B16" i="2"/>
  <c r="C16" i="2"/>
  <c r="B17" i="2"/>
  <c r="C17" i="2"/>
  <c r="B18" i="2"/>
  <c r="C18" i="2"/>
  <c r="B19" i="2"/>
  <c r="C19" i="2"/>
  <c r="B20" i="2"/>
  <c r="C20" i="2"/>
  <c r="B21" i="2"/>
  <c r="C21" i="2"/>
  <c r="B22" i="2"/>
  <c r="C22" i="2"/>
  <c r="B23" i="2"/>
  <c r="C23" i="2"/>
  <c r="B24" i="2"/>
  <c r="C24" i="2"/>
  <c r="B25" i="2"/>
  <c r="C25" i="2"/>
  <c r="B26" i="2"/>
  <c r="C26" i="2"/>
  <c r="B27" i="2"/>
  <c r="C27" i="2"/>
  <c r="B28" i="2"/>
  <c r="C28" i="2"/>
  <c r="B29" i="2"/>
  <c r="C29" i="2"/>
  <c r="B30" i="2"/>
  <c r="C30" i="2"/>
  <c r="B31" i="2"/>
  <c r="C31" i="2"/>
  <c r="B32" i="2"/>
  <c r="C32" i="2"/>
  <c r="B33" i="2"/>
  <c r="C33" i="2"/>
  <c r="B34" i="2"/>
  <c r="C34" i="2"/>
  <c r="B35" i="2"/>
  <c r="C35" i="2"/>
  <c r="B36" i="2"/>
  <c r="C36" i="2"/>
  <c r="B37" i="2"/>
  <c r="C37" i="2"/>
  <c r="B38" i="2"/>
  <c r="C38" i="2"/>
  <c r="B39" i="2"/>
  <c r="C39" i="2"/>
  <c r="B40" i="2"/>
  <c r="C40" i="2"/>
  <c r="B41" i="2"/>
  <c r="C41" i="2"/>
  <c r="C4" i="2"/>
  <c r="B4" i="2"/>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C25" i="2" l="1"/>
  <c r="AH3" i="2" l="1"/>
  <c r="AG3" i="2"/>
  <c r="AU3" i="2"/>
  <c r="AT3" i="2"/>
  <c r="AC32" i="2" l="1"/>
  <c r="B41" i="8" l="1"/>
  <c r="A41" i="8"/>
  <c r="B40" i="8"/>
  <c r="A40" i="8"/>
  <c r="B39" i="8"/>
  <c r="A39" i="8"/>
  <c r="B38" i="8"/>
  <c r="A38" i="8"/>
  <c r="B37" i="8"/>
  <c r="A37" i="8"/>
  <c r="B36" i="8"/>
  <c r="A36" i="8"/>
  <c r="B35" i="8"/>
  <c r="A35" i="8"/>
  <c r="B34" i="8"/>
  <c r="A34" i="8"/>
  <c r="B33" i="8"/>
  <c r="A33" i="8"/>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B5" i="8"/>
  <c r="A5" i="8"/>
  <c r="B4" i="8"/>
  <c r="A4" i="8"/>
  <c r="AK21" i="2" l="1"/>
  <c r="AM37" i="2" l="1"/>
  <c r="A5" i="7" l="1"/>
  <c r="B5" i="7"/>
  <c r="A6" i="7"/>
  <c r="B6" i="7"/>
  <c r="A7" i="7"/>
  <c r="B7" i="7"/>
  <c r="A8" i="7"/>
  <c r="B8" i="7"/>
  <c r="A9" i="7"/>
  <c r="B9" i="7"/>
  <c r="A10" i="7"/>
  <c r="B10" i="7"/>
  <c r="A11" i="7"/>
  <c r="B11" i="7"/>
  <c r="A12" i="7"/>
  <c r="B12" i="7"/>
  <c r="A13" i="7"/>
  <c r="B13" i="7"/>
  <c r="A14" i="7"/>
  <c r="B14" i="7"/>
  <c r="A15" i="7"/>
  <c r="B15" i="7"/>
  <c r="A16" i="7"/>
  <c r="B16" i="7"/>
  <c r="A17" i="7"/>
  <c r="B17" i="7"/>
  <c r="A18" i="7"/>
  <c r="B18" i="7"/>
  <c r="A19" i="7"/>
  <c r="B19" i="7"/>
  <c r="A20" i="7"/>
  <c r="B20" i="7"/>
  <c r="A21" i="7"/>
  <c r="B21" i="7"/>
  <c r="A22" i="7"/>
  <c r="B22" i="7"/>
  <c r="A23" i="7"/>
  <c r="B23" i="7"/>
  <c r="A24" i="7"/>
  <c r="B24" i="7"/>
  <c r="A25" i="7"/>
  <c r="B25" i="7"/>
  <c r="A26" i="7"/>
  <c r="B26" i="7"/>
  <c r="A27" i="7"/>
  <c r="B27" i="7"/>
  <c r="A28" i="7"/>
  <c r="B28" i="7"/>
  <c r="A29" i="7"/>
  <c r="B29" i="7"/>
  <c r="A30" i="7"/>
  <c r="B30" i="7"/>
  <c r="A31" i="7"/>
  <c r="B31" i="7"/>
  <c r="A32" i="7"/>
  <c r="B32" i="7"/>
  <c r="A33" i="7"/>
  <c r="B33" i="7"/>
  <c r="A34" i="7"/>
  <c r="B34" i="7"/>
  <c r="A35" i="7"/>
  <c r="B35" i="7"/>
  <c r="A36" i="7"/>
  <c r="B36" i="7"/>
  <c r="A37" i="7"/>
  <c r="B37" i="7"/>
  <c r="A38" i="7"/>
  <c r="B38" i="7"/>
  <c r="A39" i="7"/>
  <c r="B39" i="7"/>
  <c r="A40" i="7"/>
  <c r="B40" i="7"/>
  <c r="A41" i="7"/>
  <c r="B41" i="7"/>
  <c r="A42" i="7"/>
  <c r="B42" i="7"/>
  <c r="A43" i="7"/>
  <c r="B43" i="7"/>
  <c r="A44" i="7"/>
  <c r="B44" i="7"/>
  <c r="A45" i="7"/>
  <c r="B45" i="7"/>
  <c r="A46" i="7"/>
  <c r="B46" i="7"/>
  <c r="A47" i="7"/>
  <c r="B47" i="7"/>
  <c r="A48" i="7"/>
  <c r="B48" i="7"/>
  <c r="A49" i="7"/>
  <c r="B49" i="7"/>
  <c r="A50" i="7"/>
  <c r="B50" i="7"/>
  <c r="A51" i="7"/>
  <c r="B51" i="7"/>
  <c r="A52" i="7"/>
  <c r="B52" i="7"/>
  <c r="A53" i="7"/>
  <c r="B53" i="7"/>
  <c r="A54" i="7"/>
  <c r="B54" i="7"/>
  <c r="A55" i="7"/>
  <c r="B55" i="7"/>
  <c r="A56" i="7"/>
  <c r="B56" i="7"/>
  <c r="A57" i="7"/>
  <c r="B57" i="7"/>
  <c r="A58" i="7"/>
  <c r="B58" i="7"/>
  <c r="A59" i="7"/>
  <c r="B59" i="7"/>
  <c r="A60" i="7"/>
  <c r="B60" i="7"/>
  <c r="A61" i="7"/>
  <c r="B61" i="7"/>
  <c r="A62" i="7"/>
  <c r="B62" i="7"/>
  <c r="A63" i="7"/>
  <c r="B63" i="7"/>
  <c r="A64" i="7"/>
  <c r="B64" i="7"/>
  <c r="A65" i="7"/>
  <c r="B65" i="7"/>
  <c r="A66" i="7"/>
  <c r="B66" i="7"/>
  <c r="A67" i="7"/>
  <c r="B67" i="7"/>
  <c r="A68" i="7"/>
  <c r="B68" i="7"/>
  <c r="A69" i="7"/>
  <c r="B69" i="7"/>
  <c r="A70" i="7"/>
  <c r="B70" i="7"/>
  <c r="A71" i="7"/>
  <c r="B71" i="7"/>
  <c r="A72" i="7"/>
  <c r="B72" i="7"/>
  <c r="A73" i="7"/>
  <c r="B73" i="7"/>
  <c r="A74" i="7"/>
  <c r="B74" i="7"/>
  <c r="A75" i="7"/>
  <c r="B75" i="7"/>
  <c r="A76" i="7"/>
  <c r="B76" i="7"/>
  <c r="A77" i="7"/>
  <c r="B77" i="7"/>
  <c r="A78" i="7"/>
  <c r="B78" i="7"/>
  <c r="A79" i="7"/>
  <c r="B79" i="7"/>
  <c r="A80" i="7"/>
  <c r="B80" i="7"/>
  <c r="A81" i="7"/>
  <c r="B81" i="7"/>
  <c r="A82" i="7"/>
  <c r="B82" i="7"/>
  <c r="A83" i="7"/>
  <c r="B83" i="7"/>
  <c r="A84" i="7"/>
  <c r="B84" i="7"/>
  <c r="A85" i="7"/>
  <c r="B85" i="7"/>
  <c r="A86" i="7"/>
  <c r="B86" i="7"/>
  <c r="A87" i="7"/>
  <c r="B87" i="7"/>
  <c r="A88" i="7"/>
  <c r="B88" i="7"/>
  <c r="A89" i="7"/>
  <c r="B89" i="7"/>
  <c r="A90" i="7"/>
  <c r="B90" i="7"/>
  <c r="A91" i="7"/>
  <c r="B91" i="7"/>
  <c r="A92" i="7"/>
  <c r="B92" i="7"/>
  <c r="A93" i="7"/>
  <c r="B93" i="7"/>
  <c r="A94" i="7"/>
  <c r="B94" i="7"/>
  <c r="A95" i="7"/>
  <c r="B95" i="7"/>
  <c r="A96" i="7"/>
  <c r="B96" i="7"/>
  <c r="A97" i="7"/>
  <c r="B97" i="7"/>
  <c r="A98" i="7"/>
  <c r="B98" i="7"/>
  <c r="A99" i="7"/>
  <c r="B99" i="7"/>
  <c r="A100" i="7"/>
  <c r="B100" i="7"/>
  <c r="A101" i="7"/>
  <c r="B101" i="7"/>
  <c r="A102" i="7"/>
  <c r="B102" i="7"/>
  <c r="A103" i="7"/>
  <c r="B103" i="7"/>
  <c r="A104" i="7"/>
  <c r="B104" i="7"/>
  <c r="A105" i="7"/>
  <c r="B105" i="7"/>
  <c r="A106" i="7"/>
  <c r="B106" i="7"/>
  <c r="A107" i="7"/>
  <c r="B107" i="7"/>
  <c r="A108" i="7"/>
  <c r="B108" i="7"/>
  <c r="A109" i="7"/>
  <c r="B109" i="7"/>
  <c r="B4" i="7"/>
  <c r="A4" i="7"/>
  <c r="AM7" i="2"/>
  <c r="AP4" i="2"/>
  <c r="AK4" i="2"/>
  <c r="AN35" i="2"/>
  <c r="AK35" i="2"/>
  <c r="BM41" i="2"/>
  <c r="BN41" i="2"/>
  <c r="BO41" i="2"/>
  <c r="BP41" i="2"/>
  <c r="E41" i="2" s="1"/>
  <c r="BQ41" i="2"/>
  <c r="BR41" i="2"/>
  <c r="BS41" i="2"/>
  <c r="BT41" i="2"/>
  <c r="BU41" i="2"/>
  <c r="A41" i="2"/>
  <c r="AB41" i="2" l="1"/>
  <c r="W41" i="2"/>
  <c r="O41" i="2"/>
  <c r="G41" i="2"/>
  <c r="AU41" i="2"/>
  <c r="AH41" i="2"/>
  <c r="AT41" i="2"/>
  <c r="AG41" i="2"/>
  <c r="AO41" i="2"/>
  <c r="AJ41" i="2"/>
  <c r="BM40" i="2"/>
  <c r="BN40" i="2"/>
  <c r="BO40" i="2"/>
  <c r="BP40" i="2"/>
  <c r="BQ40" i="2"/>
  <c r="BR40" i="2"/>
  <c r="BS40" i="2"/>
  <c r="BT40" i="2"/>
  <c r="BU40" i="2"/>
  <c r="A40" i="2"/>
  <c r="W40" i="2" l="1"/>
  <c r="E40" i="2"/>
  <c r="O40" i="2"/>
  <c r="G40" i="2"/>
  <c r="AU40" i="2"/>
  <c r="AH40" i="2"/>
  <c r="AT40" i="2"/>
  <c r="AG40" i="2"/>
  <c r="AB40" i="2"/>
  <c r="AW40" i="2"/>
  <c r="AO40" i="2"/>
  <c r="AJ40" i="2"/>
  <c r="BM39" i="2"/>
  <c r="BN39" i="2"/>
  <c r="BO39" i="2"/>
  <c r="BP39" i="2"/>
  <c r="BQ39" i="2"/>
  <c r="BR39" i="2"/>
  <c r="BS39" i="2"/>
  <c r="BT39" i="2"/>
  <c r="BU39" i="2"/>
  <c r="A39" i="2"/>
  <c r="W39" i="2" l="1"/>
  <c r="E39" i="2"/>
  <c r="O39" i="2"/>
  <c r="G39" i="2"/>
  <c r="AT39" i="2"/>
  <c r="AG39" i="2"/>
  <c r="AU39" i="2"/>
  <c r="AH39" i="2"/>
  <c r="AB39" i="2"/>
  <c r="AJ39" i="2"/>
  <c r="AO39" i="2"/>
  <c r="AX38" i="2"/>
  <c r="BM38" i="2"/>
  <c r="BN38" i="2"/>
  <c r="BO38" i="2"/>
  <c r="BP38" i="2"/>
  <c r="BQ38" i="2"/>
  <c r="BR38" i="2"/>
  <c r="BS38" i="2"/>
  <c r="BT38" i="2"/>
  <c r="BU38" i="2"/>
  <c r="A38" i="2"/>
  <c r="I38" i="4"/>
  <c r="AZ7" i="2"/>
  <c r="BM37" i="2"/>
  <c r="BN37" i="2"/>
  <c r="BO37" i="2"/>
  <c r="BP37" i="2"/>
  <c r="BQ37" i="2"/>
  <c r="BR37" i="2"/>
  <c r="BS37" i="2"/>
  <c r="BT37" i="2"/>
  <c r="BU37" i="2"/>
  <c r="A37" i="2"/>
  <c r="W38" i="2" l="1"/>
  <c r="E38" i="2"/>
  <c r="W37" i="2"/>
  <c r="E37" i="2"/>
  <c r="O38" i="2"/>
  <c r="G38" i="2"/>
  <c r="O37" i="2"/>
  <c r="G37" i="2"/>
  <c r="AT38" i="2"/>
  <c r="AG38" i="2"/>
  <c r="AU37" i="2"/>
  <c r="AH37" i="2"/>
  <c r="AU38" i="2"/>
  <c r="AH38" i="2"/>
  <c r="AT37" i="2"/>
  <c r="AG37" i="2"/>
  <c r="AB37" i="2"/>
  <c r="AB38" i="2"/>
  <c r="AW38" i="2"/>
  <c r="AJ38" i="2"/>
  <c r="AO38" i="2"/>
  <c r="AW37" i="2"/>
  <c r="AO37" i="2"/>
  <c r="AJ37" i="2"/>
  <c r="AX21" i="2"/>
  <c r="A36" i="6"/>
  <c r="B36" i="6"/>
  <c r="A37" i="6"/>
  <c r="B37" i="6"/>
  <c r="A38" i="6"/>
  <c r="B38" i="6"/>
  <c r="A39" i="6"/>
  <c r="B39" i="6"/>
  <c r="A40" i="6"/>
  <c r="B40" i="6"/>
  <c r="A41" i="6"/>
  <c r="B41" i="6"/>
  <c r="A42" i="6"/>
  <c r="B42" i="6"/>
  <c r="A43" i="6"/>
  <c r="B43" i="6"/>
  <c r="A44" i="6"/>
  <c r="B44" i="6"/>
  <c r="A45" i="6"/>
  <c r="B45" i="6"/>
  <c r="A46" i="6"/>
  <c r="B46" i="6"/>
  <c r="A47" i="6"/>
  <c r="B47" i="6"/>
  <c r="A48" i="6"/>
  <c r="B48" i="6"/>
  <c r="A49" i="6"/>
  <c r="B49" i="6"/>
  <c r="A50" i="6"/>
  <c r="B50" i="6"/>
  <c r="A51" i="6"/>
  <c r="B51" i="6"/>
  <c r="A52" i="6"/>
  <c r="B52" i="6"/>
  <c r="A53" i="6"/>
  <c r="B53" i="6"/>
  <c r="A54" i="6"/>
  <c r="B54" i="6"/>
  <c r="A55" i="6"/>
  <c r="B55" i="6"/>
  <c r="A56" i="6"/>
  <c r="B56" i="6"/>
  <c r="A57" i="6"/>
  <c r="B57" i="6"/>
  <c r="A58" i="6"/>
  <c r="B58" i="6"/>
  <c r="A59" i="6"/>
  <c r="B59" i="6"/>
  <c r="A60" i="6"/>
  <c r="B60" i="6"/>
  <c r="A61" i="6"/>
  <c r="B61" i="6"/>
  <c r="A62" i="6"/>
  <c r="B62" i="6"/>
  <c r="A63" i="6"/>
  <c r="B63" i="6"/>
  <c r="A64" i="6"/>
  <c r="B64" i="6"/>
  <c r="A36" i="2"/>
  <c r="BM36" i="2"/>
  <c r="BN36" i="2"/>
  <c r="BO36" i="2"/>
  <c r="BP36" i="2"/>
  <c r="BQ36" i="2"/>
  <c r="BR36" i="2"/>
  <c r="BS36" i="2"/>
  <c r="BT36" i="2"/>
  <c r="BU36" i="2"/>
  <c r="W36" i="2" l="1"/>
  <c r="E36" i="2"/>
  <c r="O36" i="2"/>
  <c r="G36" i="2"/>
  <c r="AU36" i="2"/>
  <c r="AH36" i="2"/>
  <c r="AT36" i="2"/>
  <c r="AG36" i="2"/>
  <c r="AB36" i="2"/>
  <c r="AW36" i="2"/>
  <c r="AO36" i="2"/>
  <c r="AJ36" i="2"/>
  <c r="BB36" i="2"/>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4" i="6"/>
  <c r="A5" i="6"/>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4" i="6"/>
  <c r="BN35" i="2"/>
  <c r="BO35" i="2"/>
  <c r="BP35" i="2"/>
  <c r="BQ35" i="2"/>
  <c r="BR35" i="2"/>
  <c r="BS35" i="2"/>
  <c r="BT35" i="2"/>
  <c r="BU35" i="2"/>
  <c r="BM35" i="2"/>
  <c r="A35" i="2"/>
  <c r="W35" i="2" l="1"/>
  <c r="E35" i="2"/>
  <c r="O35" i="2"/>
  <c r="G35" i="2"/>
  <c r="AU35" i="2"/>
  <c r="AH35" i="2"/>
  <c r="AT35" i="2"/>
  <c r="AG35" i="2"/>
  <c r="AB35" i="2"/>
  <c r="AW35" i="2"/>
  <c r="AJ35" i="2"/>
  <c r="AO35" i="2"/>
  <c r="AX33" i="2"/>
  <c r="AX25" i="2" l="1"/>
  <c r="BE7" i="2"/>
  <c r="H32" i="4" l="1"/>
  <c r="BI32" i="2" l="1"/>
  <c r="BL32" i="2"/>
  <c r="P280" i="4" l="1"/>
  <c r="P279" i="4"/>
  <c r="BN34" i="2"/>
  <c r="BO34" i="2"/>
  <c r="BP34" i="2"/>
  <c r="BQ34" i="2"/>
  <c r="BR34" i="2"/>
  <c r="BS34" i="2"/>
  <c r="BT34" i="2"/>
  <c r="BU34" i="2"/>
  <c r="BM34" i="2"/>
  <c r="A34" i="2"/>
  <c r="W34" i="2" l="1"/>
  <c r="E34" i="2"/>
  <c r="O34" i="2"/>
  <c r="G34" i="2"/>
  <c r="AT34" i="2"/>
  <c r="AG34" i="2"/>
  <c r="AU34" i="2"/>
  <c r="AH34" i="2"/>
  <c r="AB34" i="2"/>
  <c r="AO34" i="2"/>
  <c r="AJ34" i="2"/>
  <c r="BK34" i="2"/>
  <c r="AW34" i="2"/>
  <c r="BH34" i="2"/>
  <c r="BU30" i="2"/>
  <c r="BL30" i="2" l="1"/>
  <c r="BI30" i="2"/>
  <c r="H30" i="4" l="1"/>
  <c r="BU32" i="2"/>
  <c r="BU33" i="2"/>
  <c r="BT32" i="2"/>
  <c r="BT33" i="2"/>
  <c r="BS32" i="2"/>
  <c r="BS33" i="2"/>
  <c r="BR32" i="2"/>
  <c r="BR33" i="2"/>
  <c r="BQ32" i="2"/>
  <c r="BQ33" i="2"/>
  <c r="BP32" i="2"/>
  <c r="BP33" i="2"/>
  <c r="BO32" i="2"/>
  <c r="BO33" i="2"/>
  <c r="BN32" i="2"/>
  <c r="BN33" i="2"/>
  <c r="BM32" i="2"/>
  <c r="BM33" i="2"/>
  <c r="A32" i="2"/>
  <c r="A33" i="2"/>
  <c r="A5" i="2"/>
  <c r="A6" i="2"/>
  <c r="A7" i="2"/>
  <c r="A8" i="2"/>
  <c r="A9" i="2"/>
  <c r="A10" i="2"/>
  <c r="A11" i="2"/>
  <c r="A12" i="2"/>
  <c r="A13" i="2"/>
  <c r="A14" i="2"/>
  <c r="A15" i="2"/>
  <c r="A16" i="2"/>
  <c r="A17" i="2"/>
  <c r="A18" i="2"/>
  <c r="A19" i="2"/>
  <c r="A20" i="2"/>
  <c r="A21" i="2"/>
  <c r="A22" i="2"/>
  <c r="A23" i="2"/>
  <c r="A24" i="2"/>
  <c r="A25" i="2"/>
  <c r="A26" i="2"/>
  <c r="A27" i="2"/>
  <c r="A28" i="2"/>
  <c r="A29" i="2"/>
  <c r="A30" i="2"/>
  <c r="A31" i="2"/>
  <c r="BM5" i="2"/>
  <c r="BO5" i="2"/>
  <c r="BP5" i="2"/>
  <c r="BQ5" i="2"/>
  <c r="BR5" i="2"/>
  <c r="BS5" i="2"/>
  <c r="BT5" i="2"/>
  <c r="BU5" i="2"/>
  <c r="BM6" i="2"/>
  <c r="BO6" i="2"/>
  <c r="BP6" i="2"/>
  <c r="BQ6" i="2"/>
  <c r="BR6" i="2"/>
  <c r="BS6" i="2"/>
  <c r="BT6" i="2"/>
  <c r="BU6" i="2"/>
  <c r="BM7" i="2"/>
  <c r="BN7" i="2"/>
  <c r="BO7" i="2"/>
  <c r="BP7" i="2"/>
  <c r="BQ7" i="2"/>
  <c r="BR7" i="2"/>
  <c r="BS7" i="2"/>
  <c r="BT7" i="2"/>
  <c r="BU7" i="2"/>
  <c r="BM8" i="2"/>
  <c r="BN8" i="2"/>
  <c r="BP8" i="2"/>
  <c r="BQ8" i="2"/>
  <c r="BR8" i="2"/>
  <c r="BS8" i="2"/>
  <c r="BT8" i="2"/>
  <c r="BU8" i="2"/>
  <c r="BM9" i="2"/>
  <c r="BN9" i="2"/>
  <c r="BP9" i="2"/>
  <c r="BQ9" i="2"/>
  <c r="BR9" i="2"/>
  <c r="BS9" i="2"/>
  <c r="BT9" i="2"/>
  <c r="BU9" i="2"/>
  <c r="BM10" i="2"/>
  <c r="BO10" i="2"/>
  <c r="BP10" i="2"/>
  <c r="BQ10" i="2"/>
  <c r="BR10" i="2"/>
  <c r="BS10" i="2"/>
  <c r="BT10" i="2"/>
  <c r="BU10" i="2"/>
  <c r="BM11" i="2"/>
  <c r="BO11" i="2"/>
  <c r="BP11" i="2"/>
  <c r="BQ11" i="2"/>
  <c r="BR11" i="2"/>
  <c r="BS11" i="2"/>
  <c r="BT11" i="2"/>
  <c r="BU11" i="2"/>
  <c r="BM12" i="2"/>
  <c r="BO12" i="2"/>
  <c r="BP12" i="2"/>
  <c r="BQ12" i="2"/>
  <c r="BR12" i="2"/>
  <c r="BS12" i="2"/>
  <c r="BT12" i="2"/>
  <c r="BU12" i="2"/>
  <c r="BM13" i="2"/>
  <c r="BN13" i="2"/>
  <c r="BO13" i="2"/>
  <c r="BP13" i="2"/>
  <c r="BQ13" i="2"/>
  <c r="BR13" i="2"/>
  <c r="BS13" i="2"/>
  <c r="BT13" i="2"/>
  <c r="BU13" i="2"/>
  <c r="BM14" i="2"/>
  <c r="BO14" i="2"/>
  <c r="BP14" i="2"/>
  <c r="BQ14" i="2"/>
  <c r="BR14" i="2"/>
  <c r="BS14" i="2"/>
  <c r="BT14" i="2"/>
  <c r="BU14" i="2"/>
  <c r="BM15" i="2"/>
  <c r="BN15" i="2"/>
  <c r="BO15" i="2"/>
  <c r="BP15" i="2"/>
  <c r="BQ15" i="2"/>
  <c r="BR15" i="2"/>
  <c r="BS15" i="2"/>
  <c r="BT15" i="2"/>
  <c r="BU15" i="2"/>
  <c r="BM16" i="2"/>
  <c r="BN16" i="2"/>
  <c r="BO16" i="2"/>
  <c r="BP16" i="2"/>
  <c r="BQ16" i="2"/>
  <c r="BR16" i="2"/>
  <c r="BS16" i="2"/>
  <c r="BT16" i="2"/>
  <c r="BU16" i="2"/>
  <c r="BM17" i="2"/>
  <c r="BO17" i="2"/>
  <c r="BP17" i="2"/>
  <c r="BQ17" i="2"/>
  <c r="BR17" i="2"/>
  <c r="BS17" i="2"/>
  <c r="BT17" i="2"/>
  <c r="BU17" i="2"/>
  <c r="BM18" i="2"/>
  <c r="BO18" i="2"/>
  <c r="BP18" i="2"/>
  <c r="BQ18" i="2"/>
  <c r="BR18" i="2"/>
  <c r="BS18" i="2"/>
  <c r="BT18" i="2"/>
  <c r="BU18" i="2"/>
  <c r="BM19" i="2"/>
  <c r="BO19" i="2"/>
  <c r="BP19" i="2"/>
  <c r="BQ19" i="2"/>
  <c r="BR19" i="2"/>
  <c r="BS19" i="2"/>
  <c r="BT19" i="2"/>
  <c r="BU19" i="2"/>
  <c r="BM20" i="2"/>
  <c r="BO20" i="2"/>
  <c r="BP20" i="2"/>
  <c r="BQ20" i="2"/>
  <c r="BR20" i="2"/>
  <c r="BS20" i="2"/>
  <c r="BT20" i="2"/>
  <c r="BU20" i="2"/>
  <c r="BM21" i="2"/>
  <c r="BO21" i="2"/>
  <c r="BP21" i="2"/>
  <c r="BQ21" i="2"/>
  <c r="BR21" i="2"/>
  <c r="BS21" i="2"/>
  <c r="BT21" i="2"/>
  <c r="BU21" i="2"/>
  <c r="BM22" i="2"/>
  <c r="BO22" i="2"/>
  <c r="BP22" i="2"/>
  <c r="E22" i="2" s="1"/>
  <c r="BQ22" i="2"/>
  <c r="BR22" i="2"/>
  <c r="BS22" i="2"/>
  <c r="BT22" i="2"/>
  <c r="BU22" i="2"/>
  <c r="BM23" i="2"/>
  <c r="BN23" i="2"/>
  <c r="BO23" i="2"/>
  <c r="BP23" i="2"/>
  <c r="BQ23" i="2"/>
  <c r="BR23" i="2"/>
  <c r="BS23" i="2"/>
  <c r="BT23" i="2"/>
  <c r="BU23" i="2"/>
  <c r="BM24" i="2"/>
  <c r="BO24" i="2"/>
  <c r="BP24" i="2"/>
  <c r="BQ24" i="2"/>
  <c r="BR24" i="2"/>
  <c r="BS24" i="2"/>
  <c r="BT24" i="2"/>
  <c r="BU24" i="2"/>
  <c r="BM25" i="2"/>
  <c r="BN25" i="2"/>
  <c r="BO25" i="2"/>
  <c r="BP25" i="2"/>
  <c r="BQ25" i="2"/>
  <c r="BR25" i="2"/>
  <c r="BS25" i="2"/>
  <c r="BT25" i="2"/>
  <c r="BU25" i="2"/>
  <c r="BM26" i="2"/>
  <c r="BO26" i="2"/>
  <c r="BP26" i="2"/>
  <c r="BQ26" i="2"/>
  <c r="BR26" i="2"/>
  <c r="BS26" i="2"/>
  <c r="BT26" i="2"/>
  <c r="BU26" i="2"/>
  <c r="BM27" i="2"/>
  <c r="BO27" i="2"/>
  <c r="BP27" i="2"/>
  <c r="BQ27" i="2"/>
  <c r="BR27" i="2"/>
  <c r="BS27" i="2"/>
  <c r="BT27" i="2"/>
  <c r="BU27" i="2"/>
  <c r="BM28" i="2"/>
  <c r="BN28" i="2"/>
  <c r="BO28" i="2"/>
  <c r="BP28" i="2"/>
  <c r="BQ28" i="2"/>
  <c r="BR28" i="2"/>
  <c r="BS28" i="2"/>
  <c r="BT28" i="2"/>
  <c r="BU28" i="2"/>
  <c r="BM29" i="2"/>
  <c r="BN29" i="2"/>
  <c r="BO29" i="2"/>
  <c r="BP29" i="2"/>
  <c r="BQ29" i="2"/>
  <c r="BR29" i="2"/>
  <c r="BS29" i="2"/>
  <c r="BT29" i="2"/>
  <c r="BU29" i="2"/>
  <c r="BM30" i="2"/>
  <c r="BO30" i="2"/>
  <c r="BP30" i="2"/>
  <c r="BQ30" i="2"/>
  <c r="BR30" i="2"/>
  <c r="BS30" i="2"/>
  <c r="BT30" i="2"/>
  <c r="BM31" i="2"/>
  <c r="BN31" i="2"/>
  <c r="BO31" i="2"/>
  <c r="BP31" i="2"/>
  <c r="BQ31" i="2"/>
  <c r="BR31" i="2"/>
  <c r="BS31" i="2"/>
  <c r="BT31" i="2"/>
  <c r="BU31" i="2"/>
  <c r="BN4" i="2"/>
  <c r="BO4" i="2"/>
  <c r="BP4" i="2"/>
  <c r="BQ4" i="2"/>
  <c r="BR4" i="2"/>
  <c r="BS4" i="2"/>
  <c r="BT4" i="2"/>
  <c r="BU4" i="2"/>
  <c r="BM4" i="2"/>
  <c r="A4" i="2"/>
  <c r="BN30" i="2"/>
  <c r="BN27" i="2"/>
  <c r="I26" i="4"/>
  <c r="BN26" i="2" s="1"/>
  <c r="H26" i="4"/>
  <c r="I24" i="4"/>
  <c r="BN24" i="2" s="1"/>
  <c r="H23" i="4"/>
  <c r="BN22" i="2"/>
  <c r="BN21" i="2"/>
  <c r="I20" i="4"/>
  <c r="BN20" i="2" s="1"/>
  <c r="H19" i="4"/>
  <c r="BN19" i="2"/>
  <c r="BN18" i="2"/>
  <c r="I17" i="4"/>
  <c r="BN17" i="2" s="1"/>
  <c r="H14" i="4"/>
  <c r="BN14" i="2"/>
  <c r="BN12" i="2"/>
  <c r="I11" i="4"/>
  <c r="BN11" i="2" s="1"/>
  <c r="BN10" i="2"/>
  <c r="H9" i="4"/>
  <c r="H8" i="4"/>
  <c r="BN6" i="2"/>
  <c r="BN5" i="2"/>
  <c r="W12" i="2" l="1"/>
  <c r="E12" i="2"/>
  <c r="W11" i="2"/>
  <c r="E11" i="2"/>
  <c r="W10" i="2"/>
  <c r="E10" i="2"/>
  <c r="W9" i="2"/>
  <c r="E9" i="2"/>
  <c r="W15" i="2"/>
  <c r="E15" i="2"/>
  <c r="W30" i="2"/>
  <c r="E30" i="2"/>
  <c r="W8" i="2"/>
  <c r="E8" i="2"/>
  <c r="W33" i="2"/>
  <c r="E33" i="2"/>
  <c r="W29" i="2"/>
  <c r="E29" i="2"/>
  <c r="W28" i="2"/>
  <c r="E28" i="2"/>
  <c r="W7" i="2"/>
  <c r="E7" i="2"/>
  <c r="W32" i="2"/>
  <c r="E32" i="2"/>
  <c r="W14" i="2"/>
  <c r="E14" i="2"/>
  <c r="W4" i="2"/>
  <c r="E4" i="2"/>
  <c r="W27" i="2"/>
  <c r="E27" i="2"/>
  <c r="W26" i="2"/>
  <c r="E26" i="2"/>
  <c r="W25" i="2"/>
  <c r="E25" i="2"/>
  <c r="W6" i="2"/>
  <c r="E6" i="2"/>
  <c r="W5" i="2"/>
  <c r="E5" i="2"/>
  <c r="W31" i="2"/>
  <c r="E31" i="2"/>
  <c r="W24" i="2"/>
  <c r="E24" i="2"/>
  <c r="W23" i="2"/>
  <c r="E23" i="2"/>
  <c r="W13" i="2"/>
  <c r="E13" i="2"/>
  <c r="W21" i="2"/>
  <c r="E21" i="2"/>
  <c r="W20" i="2"/>
  <c r="E20" i="2"/>
  <c r="W19" i="2"/>
  <c r="E19" i="2"/>
  <c r="W18" i="2"/>
  <c r="E18" i="2"/>
  <c r="W17" i="2"/>
  <c r="E17" i="2"/>
  <c r="W16" i="2"/>
  <c r="E16" i="2"/>
  <c r="G22" i="2"/>
  <c r="W22" i="2"/>
  <c r="O11" i="2"/>
  <c r="G11" i="2"/>
  <c r="O30" i="2"/>
  <c r="G30" i="2"/>
  <c r="O25" i="2"/>
  <c r="G25" i="2"/>
  <c r="O6" i="2"/>
  <c r="G6" i="2"/>
  <c r="O5" i="2"/>
  <c r="G5" i="2"/>
  <c r="O33" i="2"/>
  <c r="G33" i="2"/>
  <c r="O32" i="2"/>
  <c r="G32" i="2"/>
  <c r="O9" i="2"/>
  <c r="G9" i="2"/>
  <c r="O27" i="2"/>
  <c r="G27" i="2"/>
  <c r="O23" i="2"/>
  <c r="G23" i="2"/>
  <c r="O21" i="2"/>
  <c r="G21" i="2"/>
  <c r="O20" i="2"/>
  <c r="G20" i="2"/>
  <c r="O19" i="2"/>
  <c r="G19" i="2"/>
  <c r="O18" i="2"/>
  <c r="G18" i="2"/>
  <c r="O17" i="2"/>
  <c r="G17" i="2"/>
  <c r="O16" i="2"/>
  <c r="G16" i="2"/>
  <c r="O10" i="2"/>
  <c r="G10" i="2"/>
  <c r="O31" i="2"/>
  <c r="G31" i="2"/>
  <c r="O29" i="2"/>
  <c r="G29" i="2"/>
  <c r="O8" i="2"/>
  <c r="G8" i="2"/>
  <c r="O28" i="2"/>
  <c r="G28" i="2"/>
  <c r="O24" i="2"/>
  <c r="G24" i="2"/>
  <c r="O15" i="2"/>
  <c r="G15" i="2"/>
  <c r="O12" i="2"/>
  <c r="G12" i="2"/>
  <c r="O4" i="2"/>
  <c r="G4" i="2"/>
  <c r="O7" i="2"/>
  <c r="G7" i="2"/>
  <c r="O26" i="2"/>
  <c r="G26" i="2"/>
  <c r="O14" i="2"/>
  <c r="G14" i="2"/>
  <c r="O13" i="2"/>
  <c r="G13" i="2"/>
  <c r="AW22" i="2"/>
  <c r="O22" i="2"/>
  <c r="AU4" i="2"/>
  <c r="AH4" i="2"/>
  <c r="AT28" i="2"/>
  <c r="AG28" i="2"/>
  <c r="AT20" i="2"/>
  <c r="AG20" i="2"/>
  <c r="AT12" i="2"/>
  <c r="AG12" i="2"/>
  <c r="AU26" i="2"/>
  <c r="AH26" i="2"/>
  <c r="AU18" i="2"/>
  <c r="AH18" i="2"/>
  <c r="AU10" i="2"/>
  <c r="AH10" i="2"/>
  <c r="AT33" i="2"/>
  <c r="AG33" i="2"/>
  <c r="AT29" i="2"/>
  <c r="AG29" i="2"/>
  <c r="AT5" i="2"/>
  <c r="AG5" i="2"/>
  <c r="AU27" i="2"/>
  <c r="AH27" i="2"/>
  <c r="AT4" i="2"/>
  <c r="AG4" i="2"/>
  <c r="AT27" i="2"/>
  <c r="AG27" i="2"/>
  <c r="AT19" i="2"/>
  <c r="AG19" i="2"/>
  <c r="AT11" i="2"/>
  <c r="AG11" i="2"/>
  <c r="AU25" i="2"/>
  <c r="AH25" i="2"/>
  <c r="AU17" i="2"/>
  <c r="AH17" i="2"/>
  <c r="AU9" i="2"/>
  <c r="AH9" i="2"/>
  <c r="AT32" i="2"/>
  <c r="AG32" i="2"/>
  <c r="AT21" i="2"/>
  <c r="AG21" i="2"/>
  <c r="AU11" i="2"/>
  <c r="AH11" i="2"/>
  <c r="AT26" i="2"/>
  <c r="AG26" i="2"/>
  <c r="AT18" i="2"/>
  <c r="AG18" i="2"/>
  <c r="AT10" i="2"/>
  <c r="AG10" i="2"/>
  <c r="AU24" i="2"/>
  <c r="AH24" i="2"/>
  <c r="AU16" i="2"/>
  <c r="AH16" i="2"/>
  <c r="AU8" i="2"/>
  <c r="AH8" i="2"/>
  <c r="AU33" i="2"/>
  <c r="AH33" i="2"/>
  <c r="AT25" i="2"/>
  <c r="AG25" i="2"/>
  <c r="AT17" i="2"/>
  <c r="AG17" i="2"/>
  <c r="AT9" i="2"/>
  <c r="AG9" i="2"/>
  <c r="AU31" i="2"/>
  <c r="AH31" i="2"/>
  <c r="AU23" i="2"/>
  <c r="AH23" i="2"/>
  <c r="AU15" i="2"/>
  <c r="AH15" i="2"/>
  <c r="AU7" i="2"/>
  <c r="AH7" i="2"/>
  <c r="AU32" i="2"/>
  <c r="AH32" i="2"/>
  <c r="AT13" i="2"/>
  <c r="AG13" i="2"/>
  <c r="AT24" i="2"/>
  <c r="AG24" i="2"/>
  <c r="AT16" i="2"/>
  <c r="AG16" i="2"/>
  <c r="AT8" i="2"/>
  <c r="AG8" i="2"/>
  <c r="AU30" i="2"/>
  <c r="AH30" i="2"/>
  <c r="AU22" i="2"/>
  <c r="AH22" i="2"/>
  <c r="AU14" i="2"/>
  <c r="AH14" i="2"/>
  <c r="AU6" i="2"/>
  <c r="AH6" i="2"/>
  <c r="AT31" i="2"/>
  <c r="AG31" i="2"/>
  <c r="AT23" i="2"/>
  <c r="AG23" i="2"/>
  <c r="AT15" i="2"/>
  <c r="AG15" i="2"/>
  <c r="AT7" i="2"/>
  <c r="AG7" i="2"/>
  <c r="AU29" i="2"/>
  <c r="AH29" i="2"/>
  <c r="AU21" i="2"/>
  <c r="AH21" i="2"/>
  <c r="AU13" i="2"/>
  <c r="AH13" i="2"/>
  <c r="AU5" i="2"/>
  <c r="AH5" i="2"/>
  <c r="AU19" i="2"/>
  <c r="AH19" i="2"/>
  <c r="AT30" i="2"/>
  <c r="AG30" i="2"/>
  <c r="AT22" i="2"/>
  <c r="AG22" i="2"/>
  <c r="AT14" i="2"/>
  <c r="AG14" i="2"/>
  <c r="AT6" i="2"/>
  <c r="AG6" i="2"/>
  <c r="AU28" i="2"/>
  <c r="AH28" i="2"/>
  <c r="AU20" i="2"/>
  <c r="AH20" i="2"/>
  <c r="AU12" i="2"/>
  <c r="AH12" i="2"/>
  <c r="AB15" i="2"/>
  <c r="AB12" i="2"/>
  <c r="AB11" i="2"/>
  <c r="AB10" i="2"/>
  <c r="AB9" i="2"/>
  <c r="AB31" i="2"/>
  <c r="AB28" i="2"/>
  <c r="AB7" i="2"/>
  <c r="AB29" i="2"/>
  <c r="AB27" i="2"/>
  <c r="AB26" i="2"/>
  <c r="AB25" i="2"/>
  <c r="AB6" i="2"/>
  <c r="AB5" i="2"/>
  <c r="AB33" i="2"/>
  <c r="AB4" i="2"/>
  <c r="AB8" i="2"/>
  <c r="AB24" i="2"/>
  <c r="BB23" i="2"/>
  <c r="AW23" i="2"/>
  <c r="AB23" i="2"/>
  <c r="AB32" i="2"/>
  <c r="AB30" i="2"/>
  <c r="AB22" i="2"/>
  <c r="AB21" i="2"/>
  <c r="AB20" i="2"/>
  <c r="AB19" i="2"/>
  <c r="AB18" i="2"/>
  <c r="AB17" i="2"/>
  <c r="AB16" i="2"/>
  <c r="AB14" i="2"/>
  <c r="AB13" i="2"/>
  <c r="AJ10" i="2"/>
  <c r="AO10" i="2"/>
  <c r="BB4" i="2"/>
  <c r="AJ4" i="2"/>
  <c r="AO4" i="2"/>
  <c r="AO31" i="2"/>
  <c r="AJ31" i="2"/>
  <c r="BK30" i="2"/>
  <c r="AO30" i="2"/>
  <c r="AJ30" i="2"/>
  <c r="AJ29" i="2"/>
  <c r="AO29" i="2"/>
  <c r="BH8" i="2"/>
  <c r="AO8" i="2"/>
  <c r="AI8" i="2"/>
  <c r="AJ8" i="2" s="1"/>
  <c r="AJ11" i="2"/>
  <c r="AO11" i="2"/>
  <c r="AO9" i="2"/>
  <c r="AJ9" i="2"/>
  <c r="BK28" i="2"/>
  <c r="AJ28" i="2"/>
  <c r="AO28" i="2"/>
  <c r="AO7" i="2"/>
  <c r="AJ7" i="2"/>
  <c r="AJ27" i="2"/>
  <c r="AO27" i="2"/>
  <c r="AW26" i="2"/>
  <c r="AO26" i="2"/>
  <c r="AJ26" i="2"/>
  <c r="AO25" i="2"/>
  <c r="AJ25" i="2"/>
  <c r="AO6" i="2"/>
  <c r="AI6" i="2"/>
  <c r="AJ5" i="2"/>
  <c r="AO5" i="2"/>
  <c r="AO33" i="2"/>
  <c r="AJ33" i="2"/>
  <c r="AO24" i="2"/>
  <c r="AJ24" i="2"/>
  <c r="BH23" i="2"/>
  <c r="AO23" i="2"/>
  <c r="AJ23" i="2"/>
  <c r="AO32" i="2"/>
  <c r="AJ32" i="2"/>
  <c r="AJ12" i="2"/>
  <c r="AO12" i="2"/>
  <c r="AJ22" i="2"/>
  <c r="AO22" i="2"/>
  <c r="AW21" i="2"/>
  <c r="AJ21" i="2"/>
  <c r="AO21" i="2"/>
  <c r="AJ20" i="2"/>
  <c r="AO20" i="2"/>
  <c r="AJ19" i="2"/>
  <c r="AO19" i="2"/>
  <c r="BH18" i="2"/>
  <c r="AO18" i="2"/>
  <c r="AJ18" i="2"/>
  <c r="AO17" i="2"/>
  <c r="AJ17" i="2"/>
  <c r="AO16" i="2"/>
  <c r="AJ16" i="2"/>
  <c r="BB15" i="2"/>
  <c r="AW15" i="2"/>
  <c r="AO15" i="2"/>
  <c r="AJ15" i="2"/>
  <c r="BB14" i="2"/>
  <c r="AO14" i="2"/>
  <c r="AJ14" i="2"/>
  <c r="AW13" i="2"/>
  <c r="AJ13" i="2"/>
  <c r="AO13" i="2"/>
  <c r="BH11" i="2"/>
  <c r="AW11" i="2"/>
  <c r="BB11" i="2"/>
  <c r="BH10" i="2"/>
  <c r="AW10" i="2"/>
  <c r="BK31" i="2"/>
  <c r="AW31" i="2"/>
  <c r="BH7" i="2"/>
  <c r="AW7" i="2"/>
  <c r="BK27" i="2"/>
  <c r="AW27" i="2"/>
  <c r="AW25" i="2"/>
  <c r="BB25" i="2"/>
  <c r="BH6" i="2"/>
  <c r="AW6" i="2"/>
  <c r="BB6" i="2"/>
  <c r="BH5" i="2"/>
  <c r="AW5" i="2"/>
  <c r="BK33" i="2"/>
  <c r="AW33" i="2"/>
  <c r="BH24" i="2"/>
  <c r="AW24" i="2"/>
  <c r="AW19" i="2"/>
  <c r="BB19" i="2"/>
  <c r="BB18" i="2"/>
  <c r="AW18" i="2"/>
  <c r="BH17" i="2"/>
  <c r="BB17" i="2"/>
  <c r="AW17" i="2"/>
  <c r="BH4" i="2"/>
  <c r="AW4" i="2"/>
  <c r="BH14" i="2"/>
  <c r="AW14" i="2"/>
  <c r="BK25" i="2"/>
  <c r="BH25" i="2"/>
  <c r="BK32" i="2"/>
  <c r="BH32" i="2"/>
  <c r="BK26" i="2"/>
  <c r="BH26" i="2"/>
  <c r="BK29" i="2"/>
  <c r="BH29" i="2"/>
  <c r="BH30" i="2"/>
  <c r="BH31" i="2"/>
  <c r="AK6" i="2" l="1"/>
  <c r="AJ6" i="2"/>
  <c r="BK5" i="2"/>
  <c r="BK6" i="2"/>
  <c r="BK7" i="2"/>
  <c r="BK8" i="2"/>
  <c r="BK9" i="2"/>
  <c r="BK10" i="2"/>
  <c r="BK11" i="2"/>
  <c r="BK12" i="2"/>
  <c r="BK13" i="2"/>
  <c r="BK14" i="2"/>
  <c r="BK15" i="2"/>
  <c r="BK16" i="2"/>
  <c r="BK17" i="2"/>
  <c r="BK18" i="2"/>
  <c r="BK19" i="2"/>
  <c r="BK20" i="2"/>
  <c r="BK21" i="2"/>
  <c r="BK22" i="2"/>
  <c r="BK23" i="2"/>
  <c r="BK24" i="2"/>
  <c r="BK4" i="2"/>
</calcChain>
</file>

<file path=xl/sharedStrings.xml><?xml version="1.0" encoding="utf-8"?>
<sst xmlns="http://schemas.openxmlformats.org/spreadsheetml/2006/main" count="2204" uniqueCount="1119">
  <si>
    <t>ime: Caps</t>
  </si>
  <si>
    <t>lokacija: sever Ljubljane</t>
  </si>
  <si>
    <t>pridelek 2023: 10979 kWh</t>
  </si>
  <si>
    <t>paneli 1: 10,1 kWp azimut 162°, naklon 21° (za več grup panelov podaj posebej)</t>
  </si>
  <si>
    <t>soglasje: 10,1 kW</t>
  </si>
  <si>
    <t>omejitev oddaje v omrežje (export): 9.7 kW</t>
  </si>
  <si>
    <t>opombe: senčenje panelov v mesecih 11-2 od 10. do 14. ure (sosedi na jugu)</t>
  </si>
  <si>
    <t>Caps</t>
  </si>
  <si>
    <t>senčenje panelov v mesecih 11-2 od 10. do 14. ure (sosedi na jugu)</t>
  </si>
  <si>
    <t>ime: cimi82</t>
  </si>
  <si>
    <t>lokacija: okolica Nm </t>
  </si>
  <si>
    <t>pridelek 2023: 14570 kWh</t>
  </si>
  <si>
    <t>paneli: 32x410W = 13.28kW</t>
  </si>
  <si>
    <t>azimut -10°,</t>
  </si>
  <si>
    <t> naklon 40°</t>
  </si>
  <si>
    <t>soglasje: 13,6 kW</t>
  </si>
  <si>
    <t>opombe: priklop 20.3.2023</t>
  </si>
  <si>
    <t>cimi82</t>
  </si>
  <si>
    <t>priklop 20.3.2023</t>
  </si>
  <si>
    <t>Maribor - Zrkovci.</t>
  </si>
  <si>
    <t>SE - moč 9,02 kw, azimut 150,5°, naklon strehe 42°. 22 panelov po 410 kw.</t>
  </si>
  <si>
    <t>Proizvodnja leto 2023 11940 kw oz. 1323,72 MWh/kWp.</t>
  </si>
  <si>
    <t>Elektrarna v pogonu od 22.9.2022.</t>
  </si>
  <si>
    <t>Proizvodnja leto 2022 2,09 Mwh</t>
  </si>
  <si>
    <t>Proizvodnja od 22.9.2023 do 31.12.2023 - 2330 kw oz. 11% več kot 2022.</t>
  </si>
  <si>
    <t>xavi,Moji podatki.</t>
  </si>
  <si>
    <t>xavi</t>
  </si>
  <si>
    <t>Maribor - Zrkovci</t>
  </si>
  <si>
    <t>ime: slepec</t>
  </si>
  <si>
    <t>lokacija: okolica Litija 505 višina </t>
  </si>
  <si>
    <t>pridelek 2023: 6,75 MWh,dec 650kwh</t>
  </si>
  <si>
    <t>paneli: 33x410W = 13.53kW</t>
  </si>
  <si>
    <t>azimut 155</t>
  </si>
  <si>
    <t> naklon 35*</t>
  </si>
  <si>
    <t>opombe: priklop 10.7.2023</t>
  </si>
  <si>
    <t>slepec</t>
  </si>
  <si>
    <t>priklop 10.7.2023</t>
  </si>
  <si>
    <t>Ime</t>
  </si>
  <si>
    <t>Lokacija</t>
  </si>
  <si>
    <t>Pridelek 2023, kWh</t>
  </si>
  <si>
    <t>Paneli, kWp</t>
  </si>
  <si>
    <r>
      <t xml:space="preserve">Azimut, </t>
    </r>
    <r>
      <rPr>
        <b/>
        <sz val="11"/>
        <color theme="1"/>
        <rFont val="Calibri"/>
        <family val="2"/>
      </rPr>
      <t>°</t>
    </r>
  </si>
  <si>
    <t>Soglasje, kW</t>
  </si>
  <si>
    <t>Export omejitev, kW</t>
  </si>
  <si>
    <t>Opombe</t>
  </si>
  <si>
    <t>Naklon, °</t>
  </si>
  <si>
    <t>ime: JaBK</t>
  </si>
  <si>
    <t>lokacija: okolica Kranja</t>
  </si>
  <si>
    <t>pridelek 2023: 14127kWh</t>
  </si>
  <si>
    <t>paneli 1: 13,5 kWp, azimut 249°, naklon 38° </t>
  </si>
  <si>
    <t>soglasje: 13,5 kW</t>
  </si>
  <si>
    <t>omejitev oddaje v omrežje (export): 13,4 kW</t>
  </si>
  <si>
    <t>opombe: all black paneli (naj bi delali cca 3% slabše)</t>
  </si>
  <si>
    <t>JaBK</t>
  </si>
  <si>
    <t>okolica Kranja</t>
  </si>
  <si>
    <t>sever Ljubljane</t>
  </si>
  <si>
    <t>okolica NM</t>
  </si>
  <si>
    <t>okolica Litije, višina 505</t>
  </si>
  <si>
    <t>all black paneli (naj bi delali cca 3% slabše)
Koledarsko leto 2022: 15394kWh oziroma 1140kWh/kWp</t>
  </si>
  <si>
    <t>Koledarsko leto 2023: 14127kWh oziroma 1046kWh/kWp</t>
  </si>
  <si>
    <t>Koledarsko leto 2022: 15394kWh oziroma 1140kWh/kWp</t>
  </si>
  <si>
    <t>2022 10.923 kWh 1138kWh/kWp</t>
  </si>
  <si>
    <t>2023 9.830 kWh 1024kWh/kWp</t>
  </si>
  <si>
    <t>ime: pregela</t>
  </si>
  <si>
    <t>lokacija: Litija</t>
  </si>
  <si>
    <t>pridelek 2023: 9830kWh</t>
  </si>
  <si>
    <t>paneli 1: 32x300W = 9,6 kWp, azimut 240°, naklon 30° </t>
  </si>
  <si>
    <t>soglasje: 9,6 kW</t>
  </si>
  <si>
    <t>omejitev oddaje v omrežje (export): 9,6 kW</t>
  </si>
  <si>
    <t>opombe:</t>
  </si>
  <si>
    <t>pregela</t>
  </si>
  <si>
    <t>Litija</t>
  </si>
  <si>
    <t>Koledarsko leto  2023</t>
  </si>
  <si>
    <t>Priklop 25.1.2023</t>
  </si>
  <si>
    <t>SE:13kw pridelala 13.7.MWh</t>
  </si>
  <si>
    <t>December samo 353 kWh</t>
  </si>
  <si>
    <t>Paneli so senčeni zaradi manjšega gozda od 13.45 h naprej</t>
  </si>
  <si>
    <t>ime: Labelsm</t>
  </si>
  <si>
    <t>lokacija: Zgornje Hoče pri MB</t>
  </si>
  <si>
    <t>pridelek 2023: Se javim 25.1 2024</t>
  </si>
  <si>
    <t>paneli 1: 13 kWp, azimut 245°, naklon 30° </t>
  </si>
  <si>
    <t>soglasje: 11 kW</t>
  </si>
  <si>
    <t>omejitev oddaje v omrežje (export): 10.9kW</t>
  </si>
  <si>
    <t>Ostalo porabimo v hiši.</t>
  </si>
  <si>
    <t>opombe:  black paneli</t>
  </si>
  <si>
    <t>Zgornje Hoče pri MB</t>
  </si>
  <si>
    <t>Priklop 25.1.2023
black paneli
Paneli so senčeni zaradi manjšega gozda od 13.45 h naprej</t>
  </si>
  <si>
    <t>2022 10923 kWh 1138kWh/kWp</t>
  </si>
  <si>
    <t>Elektrarna v pogonu od 22.9.2022.
Proizvodnja leto 2022 2,09 MWh
Proizvodnja od 22.9.2023 do 31.12.2023 - 2330 kWh oz. 11% več kot 2022.</t>
  </si>
  <si>
    <t>ime: Letalec 007</t>
  </si>
  <si>
    <t>lokacija: okolica Cerknice</t>
  </si>
  <si>
    <t>pridelek 2023: 10700kWh</t>
  </si>
  <si>
    <t>paneli 1: 3,75kWp, azimut 158,5°, naklon 33° -10 kos</t>
  </si>
  <si>
    <t>paneli 2: 6kWp, azimut 247,9°, naklon 33° -16 kos</t>
  </si>
  <si>
    <t>soglasje: 11,2 kW</t>
  </si>
  <si>
    <t>omejitev oddaje v omrežje (export): 11 kW</t>
  </si>
  <si>
    <t>opombe: v zimskem času so nekateri paneli v senci (sosednje stavbe)</t>
  </si>
  <si>
    <t>okolica Cerknice</t>
  </si>
  <si>
    <t>3.75 kW, 158.5
6 kW, 247.9</t>
  </si>
  <si>
    <t>33
33</t>
  </si>
  <si>
    <t>v zimskem času so nekateri paneli v senci (sosednje stavbe)</t>
  </si>
  <si>
    <t>ime: vuego</t>
  </si>
  <si>
    <t>lokacija: okolica Kamnika</t>
  </si>
  <si>
    <t>pridelek 2023: 12983 kWh</t>
  </si>
  <si>
    <t>paneli 1: 11,49 kWp, azimut 225°, naklon 35°</t>
  </si>
  <si>
    <t>soglasje: 10,0 kW</t>
  </si>
  <si>
    <t>omejitev oddaje v omrežje (export): 9,99 kW</t>
  </si>
  <si>
    <t>opombe: v zimskem času so nekateri paneli popoldne v senci (drevesa na sosednji parceli)</t>
  </si>
  <si>
    <t>vuego</t>
  </si>
  <si>
    <t>okolica Kamnika</t>
  </si>
  <si>
    <t xml:space="preserve"> v zimskem času so nekateri paneli popoldne v senci (drevesa na sosednji parceli)</t>
  </si>
  <si>
    <t>ime: Dave</t>
  </si>
  <si>
    <t>lokacija: okolica Črnomlja</t>
  </si>
  <si>
    <t>pridelek 2023: 15090kWh</t>
  </si>
  <si>
    <t>paneli 1: 13,32 kWp, azimut 132°, naklon 30°</t>
  </si>
  <si>
    <t>soglasje: 13,5 kW</t>
  </si>
  <si>
    <t>omejitev oddaje v omrežje (export): 13,4 kW</t>
  </si>
  <si>
    <t>Dave</t>
  </si>
  <si>
    <t>okolica Črnomlja</t>
  </si>
  <si>
    <r>
      <rPr>
        <b/>
        <sz val="11"/>
        <rFont val="Calibri"/>
        <family val="2"/>
        <scheme val="minor"/>
      </rPr>
      <t>Komentar:</t>
    </r>
    <r>
      <rPr>
        <sz val="11"/>
        <rFont val="Calibri"/>
        <family val="2"/>
        <scheme val="minor"/>
      </rPr>
      <t xml:space="preserve"> "kWh/kWp", enote tega kvocienta so ure. To pomeni, koliko ur bi morala delovati SE z nazivno močjo panelov, da bi proizvedla enako energije. Navadno leto ima 8760 ur.</t>
    </r>
  </si>
  <si>
    <t>Leto 2023
kWh/kWp</t>
  </si>
  <si>
    <t>Leto 2022
kWh/kWp</t>
  </si>
  <si>
    <t>30
30</t>
  </si>
  <si>
    <t>ivč</t>
  </si>
  <si>
    <t>Leto se končuje, sonce bo drugo leto spet sijalo, nam ki imamo SE in drugim.</t>
  </si>
  <si>
    <t>Pridelek je bil vsaj pri meni slab, samo december je bil boljši vse od leta 2019.</t>
  </si>
  <si>
    <t>Letos za 8,54 KWp pridobil samo 8,85 MWh, kar je najslabše od leta 2018-mb.</t>
  </si>
  <si>
    <t>Fantje, hvala za navodila.</t>
  </si>
  <si>
    <t>Letalec, gledam na solaredge-naklon strehe-,0, (dejansko 30 st) in kot-azimut 180, malo čudno, ker jih imam 10 kos na jug in 18 na vzhod, pa na obeh kaže 180.</t>
  </si>
  <si>
    <t>Tam podatki sploh ne štimajo.</t>
  </si>
  <si>
    <t>ime: MAGS</t>
  </si>
  <si>
    <t>lokacija: okolica novo mesto</t>
  </si>
  <si>
    <t>pridelek 2023: 10,8 kWh, 2022 : 12,3 kWh</t>
  </si>
  <si>
    <t>paneli 1: 11,15 kWp azimut 110°, naklon 30°</t>
  </si>
  <si>
    <t>soglasje: 11,20 kW</t>
  </si>
  <si>
    <t>omejitev oddaje v omrežje (export): 11.11 kW</t>
  </si>
  <si>
    <t>MAGS</t>
  </si>
  <si>
    <t>okolica Novega mesta</t>
  </si>
  <si>
    <t>Cjerknca, točno na jug,  41 stopinj.</t>
  </si>
  <si>
    <t>12 kW panelov omejenih na 10,8 kW.</t>
  </si>
  <si>
    <t>Zelo osenčeni paneli.</t>
  </si>
  <si>
    <t>14,35 MWh.</t>
  </si>
  <si>
    <t>Fery</t>
  </si>
  <si>
    <t>Cerknica</t>
  </si>
  <si>
    <t>ime-ivč</t>
  </si>
  <si>
    <t>lokacija-,Maribor vzhod</t>
  </si>
  <si>
    <t>pridelek 23-8,85 Mwh najmanj do sedaj od leta 2018</t>
  </si>
  <si>
    <t>pridelek 22-9,9   MWh</t>
  </si>
  <si>
    <t>paneli 1-10x305W-naklon 30, jug 180, senčenje pozimi-sosed.hiša</t>
  </si>
  <si>
    <t>paneli 2-18x 305W-naklon 30, vzhod</t>
  </si>
  <si>
    <t>soglasje-11 KW</t>
  </si>
  <si>
    <t>Maribor vzhod</t>
  </si>
  <si>
    <t>vip58</t>
  </si>
  <si>
    <t>okolica Janč</t>
  </si>
  <si>
    <t>soglasje11.1 Kw, omejena 10.8Kw</t>
  </si>
  <si>
    <t>azimut 165°- 9,33 kW/p in 210°- 2,59 kW/p,</t>
  </si>
  <si>
    <t> naklon 35°, 530 m n.v.</t>
  </si>
  <si>
    <t>11.92Kwp, pridelala 14320 Kwh</t>
  </si>
  <si>
    <t>nekaj senčenja, v idealnih razmerah bi pridelala 1300Kwh več</t>
  </si>
  <si>
    <t>okolica Janč, 530 m n.v.</t>
  </si>
  <si>
    <t>35
35</t>
  </si>
  <si>
    <t>9.33 kW, 165
2.59 kW, 210</t>
  </si>
  <si>
    <t>ime: dussan</t>
  </si>
  <si>
    <t>lokacija: Domžale</t>
  </si>
  <si>
    <t>pridelek 2023: 14600 kWh</t>
  </si>
  <si>
    <t>paneli 27 kom: 12,285 kWp, azimut 165°, naklon 37°</t>
  </si>
  <si>
    <t>omejitev oddaje v omrežje (export): 11,1 kW (nisem prepričan)</t>
  </si>
  <si>
    <t>opombe: senčenje panelov 8 panelov zaradi oblike hiše</t>
  </si>
  <si>
    <t>pridelki prejšnjih let: priklop november 2022, takrat 628 kWh</t>
  </si>
  <si>
    <t>du77a</t>
  </si>
  <si>
    <t>Domžale</t>
  </si>
  <si>
    <t>senčenje 8 panelov zaradi oblike hiše
priklop november 2022, takrat 628 kWh</t>
  </si>
  <si>
    <t>Kvc</t>
  </si>
  <si>
    <t>Prlekija</t>
  </si>
  <si>
    <t>ime: Kvc</t>
  </si>
  <si>
    <t>lokacija: Prlekija</t>
  </si>
  <si>
    <t>pridelek 2023: 9346 kWh</t>
  </si>
  <si>
    <t>paneli: 6,75 kWp azimut 189°, naklon 35°</t>
  </si>
  <si>
    <t>soglasje: 6,75 kW</t>
  </si>
  <si>
    <t>omejitev oddaje v omrežje (export): 6,6 kW</t>
  </si>
  <si>
    <t>pridelki prejšnjih let: 2022 = 9690 kWh</t>
  </si>
  <si>
    <t>du77a poslal</t>
  </si>
  <si>
    <t>Unika542</t>
  </si>
  <si>
    <t>okolica Ivančne gorice</t>
  </si>
  <si>
    <t>4.345 kW, 129
3.95 kW, 210</t>
  </si>
  <si>
    <t>40
40</t>
  </si>
  <si>
    <t>ime: Unika542</t>
  </si>
  <si>
    <t>lokacija: okolica Ivančne gorice</t>
  </si>
  <si>
    <t>pridelek 2023: 9,22 MWh</t>
  </si>
  <si>
    <t>paneli 21 kom: 11 kom azimut</t>
  </si>
  <si>
    <t>129°,  10 kom azimut 219°, naklon 40°</t>
  </si>
  <si>
    <t>soglasje: 8,29 kW</t>
  </si>
  <si>
    <t>omejitev oddaje v omrežje (export): 7,9 kW</t>
  </si>
  <si>
    <t>opomba: ne morem primerjati z 2022, ker deluje od aprila, sta pa bili zadnji četrtletji letošnjega leta za nekaj odstotkov boljši.</t>
  </si>
  <si>
    <t>0.395 kW je panel</t>
  </si>
  <si>
    <t>ime: Fantocci2</t>
  </si>
  <si>
    <t>lokacija: Posavje</t>
  </si>
  <si>
    <t>pridelek 2023: 8160 kWh (zagnana 9.5.23)</t>
  </si>
  <si>
    <t>paneli (22x400W Jinko JKM400M-6RL3-V): 8,8 kWp azimut 182°, naklon 38°</t>
  </si>
  <si>
    <t>omejitev oddaje v omrežje (export): po soglasju</t>
  </si>
  <si>
    <t>opombe: en dimnik pa ena frčada, večji vpliv v spomladnih in jesenskih mesecih ko je sonce nizko</t>
  </si>
  <si>
    <t>Fantocci2</t>
  </si>
  <si>
    <t>Posavje</t>
  </si>
  <si>
    <t>zagnana 9.5.2023
en dimnik pa ena frčada, večji vpliv v spomladnih in jesenskih mesecih ko je sonce nizko</t>
  </si>
  <si>
    <t>JohnSnow</t>
  </si>
  <si>
    <t>lokacija: J primorska</t>
  </si>
  <si>
    <t>pridelek 2023: 12300 kWh (zagnana 17.4.23)</t>
  </si>
  <si>
    <t>paneli (30x400W Jinko): 12 kWp azimut 186,7°, naklon 18°</t>
  </si>
  <si>
    <t>soglasje: 12 kW</t>
  </si>
  <si>
    <t>opombe: pozimi, ko je sonce nizko, je spodnja vrsta delno senčena</t>
  </si>
  <si>
    <t>J Primorska</t>
  </si>
  <si>
    <t>zagnana 17.4.2023
pozimi, ko je sonce nizko, je spodnja vrsta delno senčena</t>
  </si>
  <si>
    <t>ime: SebaR</t>
  </si>
  <si>
    <t>lokacija: Braslovče</t>
  </si>
  <si>
    <t>pridelek 2022 (od 23.5.2022): 11700kWh</t>
  </si>
  <si>
    <t>pridelek 2023: 13060 kWh</t>
  </si>
  <si>
    <t>paneli (30x380W LONGI LR4-60HPH-3): 11,4 kWp azimut 217°, naklon 31°</t>
  </si>
  <si>
    <t>soglasje: 13,6 kW</t>
  </si>
  <si>
    <t>omejitev oddaje v omrežje (export): /</t>
  </si>
  <si>
    <t>opombe: hrib povzroči predčasni zahod sonca za 90 minut, ena celica menjana zaradi okvare lota letos</t>
  </si>
  <si>
    <t>SebaR</t>
  </si>
  <si>
    <t>Braslovče</t>
  </si>
  <si>
    <t>zagon 23.5.2022
hrib povzroči predčasni zahod sonca za 90 minut, ena celica menjana zaradi okvare lota</t>
  </si>
  <si>
    <t>ime: bojan03</t>
  </si>
  <si>
    <t>lokacija: okolica Medvod</t>
  </si>
  <si>
    <t>pridelek: 8250kWh</t>
  </si>
  <si>
    <t>paneli: 11x 460w azimut 150 st. + 13x460w 240st.   naklon 30°</t>
  </si>
  <si>
    <t>soglasje: 11.04 kW</t>
  </si>
  <si>
    <t>omejitev oddaje v omrežje (export): 11.04</t>
  </si>
  <si>
    <t>opomba: priklop 19.5.2023  paneli na azimutu 150° so dali 4,4% boljši pridelek</t>
  </si>
  <si>
    <t>bojan03</t>
  </si>
  <si>
    <t>okolica Medvod</t>
  </si>
  <si>
    <t>5.06 kW, 150
5.98 kW, 240</t>
  </si>
  <si>
    <t>priklop 19.5.2023
paneli na azimutu 150° so dali 4,4% boljši pridelek</t>
  </si>
  <si>
    <t>ime: Veli</t>
  </si>
  <si>
    <t>lokacija: Cerknica</t>
  </si>
  <si>
    <t>pridelek: 14,4MWH</t>
  </si>
  <si>
    <t>paneli: 30 x 380w  az 211 kot 39</t>
  </si>
  <si>
    <t>soglasje: 11,40</t>
  </si>
  <si>
    <t>omejitev oddaje v omrežje (export): 11,2</t>
  </si>
  <si>
    <t>veli</t>
  </si>
  <si>
    <t>ime: Jorma</t>
  </si>
  <si>
    <t>lokacija: Tolmin</t>
  </si>
  <si>
    <t>pridelek 2023:14600 kWh</t>
  </si>
  <si>
    <t>pridelek 2022: 16300 kwh</t>
  </si>
  <si>
    <t>paneli (32x4JINKO TR JKM395M-6RL3 BLACK FRAME,): </t>
  </si>
  <si>
    <t>azimut 173°,</t>
  </si>
  <si>
    <t>naklon 36.2°</t>
  </si>
  <si>
    <t>jormam</t>
  </si>
  <si>
    <t>Tolmin</t>
  </si>
  <si>
    <t>poslal Migaj 12.1.2024</t>
  </si>
  <si>
    <t>Da še sam vpišem letni pridelek SE.</t>
  </si>
  <si>
    <t>Lokacija na desni strani Mure.</t>
  </si>
  <si>
    <t>Oobrnjenost strehe je rahlo proti zahodu.</t>
  </si>
  <si>
    <t>Azimuta ne znam izračunati.</t>
  </si>
  <si>
    <t>Če je jug 180, bi rekel 194 (obrnjenost strehe je rahlo proti zahodu).</t>
  </si>
  <si>
    <t>Vertikalni naklon strehe je 27 stopinj (rahlo položna).</t>
  </si>
  <si>
    <t>Soglasje 11,2kW.</t>
  </si>
  <si>
    <t>Panelov 28 X 400W = 11,2 kW.</t>
  </si>
  <si>
    <t>Pridelek  22.2.2023 - 3.12.2022 = 12,66MWh.</t>
  </si>
  <si>
    <t>Poraba je bila za 3MWh manjša, višek Energija Plus plača cca 129€.</t>
  </si>
  <si>
    <t>Migaj</t>
  </si>
  <si>
    <t>na desni strani Mure</t>
  </si>
  <si>
    <t>Pridelek  od 22.2.2023 do 31.12.2023 = 12,66MWh.</t>
  </si>
  <si>
    <t>Migaj poslal popravek komentarja:</t>
  </si>
  <si>
    <t>Pridelek  od 22.2.2023 do 31.12.2023 = 12,66MWh.</t>
  </si>
  <si>
    <t>ime: Avatar</t>
  </si>
  <si>
    <t>lokacija: Šentvid pri Grobelnem</t>
  </si>
  <si>
    <t>pridelek 2023: 16520kWh</t>
  </si>
  <si>
    <t>paneli 32x400W Jinko All black: 12,8 kWp, azimut 194°, naklon 38°</t>
  </si>
  <si>
    <t>omejitev oddaje v omrežje (export): 11,1kw+energy meter</t>
  </si>
  <si>
    <t>opombe: Dopoldne rahlo senčenje od drevesa in pozimi popoldne nekaj panelov zakrije streha. Imam pa relativno dober pridelek tudi v zimskih mesecih. Največji izplen 5.4.23, 87,9kWh.</t>
  </si>
  <si>
    <t>Še po mesecih v letu 23:</t>
  </si>
  <si>
    <t>Jan: 564 kwh</t>
  </si>
  <si>
    <t>Feb:1260 kwh</t>
  </si>
  <si>
    <t>Mar:1320 kwh</t>
  </si>
  <si>
    <t>Apr:1520 kwh</t>
  </si>
  <si>
    <t>Maj:1560 kwh</t>
  </si>
  <si>
    <t>Jun:1840 kwh</t>
  </si>
  <si>
    <t>Jul:1940 kwh</t>
  </si>
  <si>
    <t>Avg:1870 kwh</t>
  </si>
  <si>
    <t>Sep:1710 kwh</t>
  </si>
  <si>
    <t>Okt:1200 kwh</t>
  </si>
  <si>
    <t>Nov: 972 kwh</t>
  </si>
  <si>
    <t>Dec:767 kwh</t>
  </si>
  <si>
    <t>Avatar</t>
  </si>
  <si>
    <t>Šentvid pri Grobelnem</t>
  </si>
  <si>
    <t>Dopoldne rahlo senčenje od drevesa in pozimi popoldne nekaj panelov zakrije streha.</t>
  </si>
  <si>
    <t>rorex</t>
  </si>
  <si>
    <t>Prekmurje</t>
  </si>
  <si>
    <t>Streha brez senčenja!</t>
  </si>
  <si>
    <t>rorex sporočil</t>
  </si>
  <si>
    <t>Lokacija: Prekmurje</t>
  </si>
  <si>
    <t>Moč elektrarne: 12 kw</t>
  </si>
  <si>
    <t>Soglasje: 11,4 kw</t>
  </si>
  <si>
    <t>Omejitev oddajanja: 11,2 kw</t>
  </si>
  <si>
    <t>Azimut: 131</t>
  </si>
  <si>
    <t>Naklon strehe: 20%</t>
  </si>
  <si>
    <t>Pridelek 2023: 14400 kw</t>
  </si>
  <si>
    <t>kwh/kwp 1200</t>
  </si>
  <si>
    <t>(13.1.2024) Danes je bil dober dan, pridelano 52,3 kWh, brez enega oblačka.</t>
  </si>
  <si>
    <t>Pridelek 16.1.2024
kWh</t>
  </si>
  <si>
    <t>52 kWh do 18:30</t>
  </si>
  <si>
    <t>Poraba energije
v objektu 16.1.2024</t>
  </si>
  <si>
    <t>wilson34</t>
  </si>
  <si>
    <t>okolica Vipave</t>
  </si>
  <si>
    <t>Caps (gost)</t>
  </si>
  <si>
    <t>Relat. pridelek 16.1.2024
kWh/kWp</t>
  </si>
  <si>
    <t>sašo65</t>
  </si>
  <si>
    <t>Brežice</t>
  </si>
  <si>
    <t>*34-40 kWh/dan (MojElektro)</t>
  </si>
  <si>
    <t>63.5 kWh do 22h</t>
  </si>
  <si>
    <t>M0rph3u5</t>
  </si>
  <si>
    <t>okolica Mokronoga</t>
  </si>
  <si>
    <t>40.9 kWh</t>
  </si>
  <si>
    <t>76.3 kWh</t>
  </si>
  <si>
    <t>Priklop oktober 2023</t>
  </si>
  <si>
    <t>Pridelek 17.1.2024
kWh</t>
  </si>
  <si>
    <t>Relat. pridelek 17.1.2024
kWh/kWp</t>
  </si>
  <si>
    <t>Poraba energije
v objektu 17.1.2024</t>
  </si>
  <si>
    <t>SE aktivna od 22.8.2022</t>
  </si>
  <si>
    <t>MOrph3u5 javil 17.1.2024</t>
  </si>
  <si>
    <t>Torej, da bo vse na svojem mestu v enem postu.</t>
  </si>
  <si>
    <t>SE aktivna od 22.8.2022.</t>
  </si>
  <si>
    <t>24 panelov (2 vrsti po 12 panelov) po 400w, skupna moč, soglasje ter omejitev 9,6 kW.</t>
  </si>
  <si>
    <t>Nagib 43 stopinj, azimut 190, lokacija dolenjska okolica Mokronoga.</t>
  </si>
  <si>
    <t>Proizvodnja za leto 2022 je bila 3,25 MWh, proizvodnja za leto 2023 12,53 MWh, letos smo do trenutka pisanja na 299,2 kWh.</t>
  </si>
  <si>
    <t>Pridelki SE forumašev na deževen dan 17.1.2024. Seveda samo tistih, ki so poslali podatke.</t>
  </si>
  <si>
    <t>70 kWh (25+45) hiša, EV</t>
  </si>
  <si>
    <t>labelsm</t>
  </si>
  <si>
    <t>45 kWh do 20h</t>
  </si>
  <si>
    <t>letalec007</t>
  </si>
  <si>
    <t>33 kWh do 20h</t>
  </si>
  <si>
    <t>Izračun porabe energije v objektu iz podatkov SE in Moj Elektro.  PORABA = SE_energija + Prejeta_iz_omrežja - Oddana_v_omrežje</t>
  </si>
  <si>
    <t>32 kWh</t>
  </si>
  <si>
    <t>44.47 kWh</t>
  </si>
  <si>
    <t>30 kWh
EV se ni polnil</t>
  </si>
  <si>
    <t>40 kWh</t>
  </si>
  <si>
    <t>50 kWh (ocena)</t>
  </si>
  <si>
    <t>49 kWh (ocena)</t>
  </si>
  <si>
    <t>40.08 kWh</t>
  </si>
  <si>
    <t>63.6 kWh</t>
  </si>
  <si>
    <t>29.9 kWh</t>
  </si>
  <si>
    <t>60.2 kWh</t>
  </si>
  <si>
    <t>55.4 kWh</t>
  </si>
  <si>
    <t>41.16 kWh</t>
  </si>
  <si>
    <t>okolica Celja</t>
  </si>
  <si>
    <t>Začetek obratovanja 9/2023</t>
  </si>
  <si>
    <t>?</t>
  </si>
  <si>
    <t>Celje</t>
  </si>
  <si>
    <t>111 kWh</t>
  </si>
  <si>
    <t>104 kWh</t>
  </si>
  <si>
    <t>6.746 kW, 136.4
8.854 kW, 223.5</t>
  </si>
  <si>
    <t>Celje je 19.1.2024 poslal</t>
  </si>
  <si>
    <t>Na strehi 15.6</t>
  </si>
  <si>
    <t>16x panel  ~ 136.4</t>
  </si>
  <si>
    <t>21x panel  ~ 223.5</t>
  </si>
  <si>
    <t>Oddaja v omrezje 13.6</t>
  </si>
  <si>
    <t>Zacetek obratovanja 9/2023.</t>
  </si>
  <si>
    <t>Kot preverim in dopisem.</t>
  </si>
  <si>
    <t>Izračun moči polj (Caps)</t>
  </si>
  <si>
    <t>40.5 kWh</t>
  </si>
  <si>
    <t>37.5 kWh</t>
  </si>
  <si>
    <t>42.5 kWh</t>
  </si>
  <si>
    <t>41 kWh</t>
  </si>
  <si>
    <t>Urejeno po kWh/kWp</t>
  </si>
  <si>
    <t>wilson34 javil 20.1.2024</t>
  </si>
  <si>
    <t>Solaredge+prejeta-oddana</t>
  </si>
  <si>
    <t>Torek 16: 16.4+54.34-6.39=48.01</t>
  </si>
  <si>
    <t>Sreda 17: 3.04+54.54-0=57.58</t>
  </si>
  <si>
    <t>Četrtek 18: 9.06+27.75-4.91=31.9</t>
  </si>
  <si>
    <t>Petek 19: 0.42+60.82-0=61.24</t>
  </si>
  <si>
    <t>57.58 kWh</t>
  </si>
  <si>
    <t>64.35kWh</t>
  </si>
  <si>
    <t>87 kWh</t>
  </si>
  <si>
    <t>vrzislo</t>
  </si>
  <si>
    <t>vrzislo je 20.1.2024 sporočil (pozabil je lokacijo)</t>
  </si>
  <si>
    <t>Obračun za leto 2023.</t>
  </si>
  <si>
    <t>SE 14,88 kWp, orientacija 135,  kot 32 stopinj. Omejitev oddaje na 10,8 kWh, v zimskem času senčenje predvsem spodnje vrste zaradi dreves v bližini.</t>
  </si>
  <si>
    <t>Prevzeto elektrika iz omrežja 17.009 kWh, oddano v omrežje 12.427kWh.</t>
  </si>
  <si>
    <t>Poračun   4582 kWh znese 744,57€ brez ddv.</t>
  </si>
  <si>
    <t>Direktna poraba po energo metru 4500 kWh, skupna poraba hiše okoli 21.200</t>
  </si>
  <si>
    <t>Okoli 10 dni ni bilo pravega delovanja Solar Edge zaradi udara strele v juliju.</t>
  </si>
  <si>
    <t>Pri hiši se za kuhanje deloma uporablja plin, bencin samo za vrtno kosilnico. Vsi prevozi na elektriko. Polnjenje vršimo 99 procentov doma.</t>
  </si>
  <si>
    <t>wilson34 je 20.1.2024 sporočil</t>
  </si>
  <si>
    <t>Pa se tole:</t>
  </si>
  <si>
    <t>16 panelov 35naklona in 125azimut (garaža)</t>
  </si>
  <si>
    <t>16 panelov 35naklona in 215azimut (hiša)</t>
  </si>
  <si>
    <t>Pridelek solaredge</t>
  </si>
  <si>
    <t>Dec 2020 zagon</t>
  </si>
  <si>
    <t>2021=12.2mwh</t>
  </si>
  <si>
    <t>2022=12.3mwh</t>
  </si>
  <si>
    <t>2023= 9.34mwh (celi julij in pol avgusta izklopljena elektrarna zaradi omrezne povezave julijskega neurja, ce so se podatki kje shranili pa ne vem, moj elektro aplikacija mi kaze 400 prejete et in 1800 oddane et).</t>
  </si>
  <si>
    <t>Drugih opomb ni, ovir ni, razen malenkost sencenja zvecer pri zahodu sonca na 215azimuta zaradi obcinskega drevoreda.</t>
  </si>
  <si>
    <t>16 panelov na 125azimut povprecno 1.11mwh in na 215azimuta pa 1.15mwh na celotno proizvodnjo do zdaj od decembra 2020. Torej nekje 3.5% vecja proizvodnja na azimut 215.</t>
  </si>
  <si>
    <t>5.2 kW, 125
5.2 kW, 215</t>
  </si>
  <si>
    <t>Zagon december 2020.
Cel julij in pol avgusta 2023 je bila elektrarna izklopljena.</t>
  </si>
  <si>
    <t>xavi 22.1.2024 sporočil</t>
  </si>
  <si>
    <t>Končno prišel do službenega računalnika, da lahko vnesem podatke za nazaj.</t>
  </si>
  <si>
    <t>18.1. 8,94 - 26,29, - 4,77 = 30,46</t>
  </si>
  <si>
    <t>19.1. 78w oz. 0 - 40 - 0 = 40</t>
  </si>
  <si>
    <t>20.1. 23 - 46,58 - 14,65 = 54,93</t>
  </si>
  <si>
    <t>21.1. 38,8 - 44,64 - 18,14 = 65,04 (svinska pečenka, štrudl)</t>
  </si>
  <si>
    <t>Proizvodnja mesec januar 333 kwh.</t>
  </si>
  <si>
    <t>Še glede čiščenja panelov.</t>
  </si>
  <si>
    <t>V petek sem imel proizvodnjo natanko 78 w. V soboto sem se lotil čiščenja (zaradi smučanja po TV sicer malo pozno)in sicer na poseben način. Prvo sem odstranil sneg, ki se je nabiral pod najnižjo vrsto kolektorjev. Pri tem moram opomnit, da snegobrani delajo samo sranje in jih bom spomladi odstranil, ker preprečujejo, da sneg zdrsne s panelov.</t>
  </si>
  <si>
    <t>Kot edini efikasni način čiščenja, glede na to, da je streha težko dostopna je bila voda iz lastne vrtine, s katero sem topil sneg pod elektrarno in kasneje spodnjo vrsto. Trajalo je kar nekaj časa, ampak potem ko je sneg zdrsnil iz elektrarne je proizvodnja v momentu iz 400 w zrasla na 6,5 kw. Tako, da na koncu dneva je bilo 23 kw proizvodnje, včeraj pa 39 ob celodnevni proizvodnji.</t>
  </si>
  <si>
    <t>Brez svoje lastne vode bi panele težko spucal.</t>
  </si>
  <si>
    <t>38.2 kWh</t>
  </si>
  <si>
    <t>37.6 kWh</t>
  </si>
  <si>
    <t>Pridelki SE forumašev na sončen dan 16.1.2024 (nekateri so imeli meglo), ki se je popoldan skvaril. Seveda samo tistih, ki so poslali podatke.</t>
  </si>
  <si>
    <t>SE_2023_forum</t>
  </si>
  <si>
    <t>10.4 kWh</t>
  </si>
  <si>
    <t>cimi82 je 24.1.2024 sporočil:</t>
  </si>
  <si>
    <t>Moji podatki o porabi:</t>
  </si>
  <si>
    <t>16.1. - poraba 10.4 kWh</t>
  </si>
  <si>
    <t>17.1. - poraba 37.6 kWh</t>
  </si>
  <si>
    <t>Je pa tako, da je poraba pri meni trenutno odvisna od tega a tisti dan polnim EV ali ne. Ogrevanje bo na toplotno črpalko od naslednje kurilne sezone dalje.</t>
  </si>
  <si>
    <t>xavi javil 25.1.2024</t>
  </si>
  <si>
    <t>podatki porabe za nazaj.</t>
  </si>
  <si>
    <t>16.1.47,11 kw</t>
  </si>
  <si>
    <t>17.1. 42,47</t>
  </si>
  <si>
    <t>Malo mi je to sicer smešno. 16.1. sem imel prozvodnjo 31 kw, bili so tudi sončni pribitki, poraba pa večja kot 17.1. ko sem imel proizvodnjo po solar edgu 3,21 kw. Tu nekaj ne štima.</t>
  </si>
  <si>
    <t>Odčitavam pa podatke iz grafa, ker je exel tabela, ko naredim izvoz total mimo.</t>
  </si>
  <si>
    <t>47.11 kWh</t>
  </si>
  <si>
    <t>vrzislo je 27.1.2024 sporočil:</t>
  </si>
  <si>
    <t>Lokacija moje SE Ljubno ob Savinji.</t>
  </si>
  <si>
    <t>Imam jo od leta 2019, tako sem s temi dnevnimi donosi opravil. Seveda dnevno sledim dogajanju donosa in porabe, pomaga pa ne veliko. V tem času sem jo tudi povečal zaradi povečane potrebe elektrike. Drugače pa narava, lokacija, lega hiše, osenčenosti kot strehe in še kaj naredi svoje.</t>
  </si>
  <si>
    <t>Jezi me sneg, če noče zdrsniti s panelov.</t>
  </si>
  <si>
    <t>Ljubno ob Savinji</t>
  </si>
  <si>
    <t>V zimskem času senčenje predvsem spodnje vrste zaradi dreves v bližini. 
Okoli 10 dni ni bilo pravega delovanja Solar Edge zaradi udara strele v juliju (2023).
SE postavljena v letu 2019.</t>
  </si>
  <si>
    <t>Poraba za EV
januar 2024
kWh</t>
  </si>
  <si>
    <t>Pridelek SE
januar 2024
kWh</t>
  </si>
  <si>
    <t>Poraba za TČ
januar 2024
kWh</t>
  </si>
  <si>
    <t>Celotna poraba
januar 2024
kWh</t>
  </si>
  <si>
    <t>Pridelek SE
januar 2023
kWh</t>
  </si>
  <si>
    <t>Celotna poraba
januar 2023
kWh</t>
  </si>
  <si>
    <t>Poraba za EV
januar 2023
kWh</t>
  </si>
  <si>
    <t>Poraba za TČ
januar 2023
kWh</t>
  </si>
  <si>
    <t>Relat. pridelek SE
januar 2024
kWh/kWp</t>
  </si>
  <si>
    <t>Relat. pridelek SE
januar 2023
kWh/kWp</t>
  </si>
  <si>
    <t>ZAJEM PODATKOV JANUAR 2024</t>
  </si>
  <si>
    <r>
      <t>Ime: </t>
    </r>
    <r>
      <rPr>
        <b/>
        <sz val="7"/>
        <color rgb="FF333333"/>
        <rFont val="Tahoma"/>
        <family val="2"/>
      </rPr>
      <t>Caps</t>
    </r>
  </si>
  <si>
    <t>Pridelek SE v januarju 2024: 361 kWh</t>
  </si>
  <si>
    <t>Celotna poraba energije v januarju 2024*: 1550 kWh (od tega EV 0 KWh)</t>
  </si>
  <si>
    <t>Ogrevanje in SV (sanitarna voda): TČ</t>
  </si>
  <si>
    <t>Opomba 1:</t>
  </si>
  <si>
    <t>... za primerjavo še podatki za januar 2023 ...</t>
  </si>
  <si>
    <t>Pridelek SE v januarju 2023: 222 kWh</t>
  </si>
  <si>
    <t>Celotna poraba energije v januarju 2023*: 124 kWh (od tega EV 0 KWh)</t>
  </si>
  <si>
    <t>Ogrevanje in SV: plinska peč</t>
  </si>
  <si>
    <t>Opomba 2: še ni bilo TČ</t>
  </si>
  <si>
    <t>Ime: MAGS</t>
  </si>
  <si>
    <t>Pridelek SE v januarju 2024: 335 kWh</t>
  </si>
  <si>
    <t>Celotna poraba energije v januarju 2024*: 1535 kWh (od tega EV 285,5KWh)</t>
  </si>
  <si>
    <t>Ogrevanje in SV TČ 834 KWh</t>
  </si>
  <si>
    <t>Pridelek SE v januarju 2023: 197 kW</t>
  </si>
  <si>
    <t>Celotna poraba energije v januarju 2023*: 1142 kWh (od tega EV 0 KWh)</t>
  </si>
  <si>
    <t>Ogrevanje in SV TČ 708 KWh</t>
  </si>
  <si>
    <r>
      <t>Ime: </t>
    </r>
    <r>
      <rPr>
        <b/>
        <sz val="7"/>
        <color rgb="FF333333"/>
        <rFont val="Tahoma"/>
        <family val="2"/>
      </rPr>
      <t>jormam</t>
    </r>
  </si>
  <si>
    <t>Pridelek SE v januarju 2024: 658 kWh</t>
  </si>
  <si>
    <t>Celotna poraba energije v januarju 2024: 2370 kWh</t>
  </si>
  <si>
    <t>Ogrevanje + voda = toplotna črpalka.</t>
  </si>
  <si>
    <t>Ime: Cimi82</t>
  </si>
  <si>
    <t>Pridelek SE v januarju 2024: 1017 kWh</t>
  </si>
  <si>
    <t>Celotna poraba energije v januarju 2024: 845 kWh (od tega EV 350 - 400 KWh)* poraba za EV je ocena glede na preteklo mesečno porabo ko ni bilo EV.</t>
  </si>
  <si>
    <t>Max dnevna: 29.1. = 65.7 kWh</t>
  </si>
  <si>
    <t>Ogrevanje: drva *TC v planu po kurilni sezoni</t>
  </si>
  <si>
    <t>Sanitarna voda: kombinacija drva + sanitarna TC</t>
  </si>
  <si>
    <t>350 do 400</t>
  </si>
  <si>
    <t>Še moji podatki za januar 2024</t>
  </si>
  <si>
    <r>
      <t>ET A +     </t>
    </r>
    <r>
      <rPr>
        <b/>
        <sz val="7"/>
        <color rgb="FF333333"/>
        <rFont val="Tahoma"/>
        <family val="2"/>
      </rPr>
      <t>1038,23</t>
    </r>
  </si>
  <si>
    <r>
      <t>ET A - </t>
    </r>
    <r>
      <rPr>
        <b/>
        <sz val="7"/>
        <color rgb="FF333333"/>
        <rFont val="Tahoma"/>
        <family val="2"/>
      </rPr>
      <t>       412,65</t>
    </r>
  </si>
  <si>
    <r>
      <t>razlika =</t>
    </r>
    <r>
      <rPr>
        <u/>
        <sz val="7"/>
        <color rgb="FF333333"/>
        <rFont val="Tahoma"/>
        <family val="2"/>
      </rPr>
      <t>  </t>
    </r>
    <r>
      <rPr>
        <b/>
        <u/>
        <sz val="7"/>
        <color rgb="FF333333"/>
        <rFont val="Tahoma"/>
        <family val="2"/>
      </rPr>
      <t>- 625,58 kwh</t>
    </r>
  </si>
  <si>
    <r>
      <t>Proizvedena energija po Solar Edge </t>
    </r>
    <r>
      <rPr>
        <b/>
        <sz val="7"/>
        <color rgb="FF333333"/>
        <rFont val="Tahoma"/>
        <family val="2"/>
      </rPr>
      <t>663 kw</t>
    </r>
    <r>
      <rPr>
        <sz val="7"/>
        <color rgb="FF333333"/>
        <rFont val="Tahoma"/>
        <family val="2"/>
      </rPr>
      <t> oz. </t>
    </r>
    <r>
      <rPr>
        <b/>
        <sz val="7"/>
        <color rgb="FF333333"/>
        <rFont val="Tahoma"/>
        <family val="2"/>
      </rPr>
      <t>73, 50 kwh/kwp</t>
    </r>
    <r>
      <rPr>
        <sz val="7"/>
        <color rgb="FF333333"/>
        <rFont val="Tahoma"/>
        <family val="2"/>
      </rPr>
      <t>, moč elektrarne </t>
    </r>
    <r>
      <rPr>
        <b/>
        <sz val="7"/>
        <color rgb="FF333333"/>
        <rFont val="Tahoma"/>
        <family val="2"/>
      </rPr>
      <t>9,02 kw</t>
    </r>
    <r>
      <rPr>
        <sz val="7"/>
        <color rgb="FF333333"/>
        <rFont val="Tahoma"/>
        <family val="2"/>
      </rPr>
      <t>.</t>
    </r>
  </si>
  <si>
    <r>
      <t>Skupna porabljena energija </t>
    </r>
    <r>
      <rPr>
        <b/>
        <sz val="7"/>
        <color rgb="FF333333"/>
        <rFont val="Tahoma"/>
        <family val="2"/>
      </rPr>
      <t>1288,58</t>
    </r>
  </si>
  <si>
    <t>Ogrevanje, sanitarna voda TČ.</t>
  </si>
  <si>
    <t>Opomba:</t>
  </si>
  <si>
    <r>
      <t>Januar 2023 </t>
    </r>
    <r>
      <rPr>
        <b/>
        <sz val="7"/>
        <color rgb="FF333333"/>
        <rFont val="Tahoma"/>
        <family val="2"/>
      </rPr>
      <t>410 kw</t>
    </r>
    <r>
      <rPr>
        <sz val="7"/>
        <color rgb="FF333333"/>
        <rFont val="Tahoma"/>
        <family val="2"/>
      </rPr>
      <t>, januar 2024 </t>
    </r>
    <r>
      <rPr>
        <b/>
        <sz val="7"/>
        <color rgb="FF333333"/>
        <rFont val="Tahoma"/>
        <family val="2"/>
      </rPr>
      <t>663 kwh</t>
    </r>
    <r>
      <rPr>
        <sz val="7"/>
        <color rgb="FF333333"/>
        <rFont val="Tahoma"/>
        <family val="2"/>
      </rPr>
      <t> oz. </t>
    </r>
    <r>
      <rPr>
        <b/>
        <sz val="7"/>
        <color rgb="FF333333"/>
        <rFont val="Tahoma"/>
        <family val="2"/>
      </rPr>
      <t>+ 62%</t>
    </r>
    <r>
      <rPr>
        <sz val="7"/>
        <color rgb="FF333333"/>
        <rFont val="Tahoma"/>
        <family val="2"/>
      </rPr>
      <t>. Večja proizvodnja kot je bila novembra 2023. Težko da se bo takšen januar z toliko sončnih dni in brez megle kdaj ponovil.</t>
    </r>
  </si>
  <si>
    <t>Ime: Kvc</t>
  </si>
  <si>
    <t>Pridelek SE v januarju 2024: 535 kWh</t>
  </si>
  <si>
    <t>Celotna poraba energije v januarju 2024: 859 kWh</t>
  </si>
  <si>
    <t>Ogrevanje in SV TČ: 408 KWh</t>
  </si>
  <si>
    <t>Pridelek SE v januarju 2023: 333 kW</t>
  </si>
  <si>
    <t>Celotna poraba energije v januarju 2023: 887 kWh</t>
  </si>
  <si>
    <t>Ogrevanje in SV TČ: 379 KWh</t>
  </si>
  <si>
    <t>Janar 2024</t>
  </si>
  <si>
    <t>SE 740kWh</t>
  </si>
  <si>
    <t>poraba 2MWh</t>
  </si>
  <si>
    <t>Slepec </t>
  </si>
  <si>
    <t>Za leto 23</t>
  </si>
  <si>
    <t>Januar</t>
  </si>
  <si>
    <t>Poraba hiše 980 kwh</t>
  </si>
  <si>
    <t>TČ 400 kwh</t>
  </si>
  <si>
    <t>Voda 135</t>
  </si>
  <si>
    <t>SE še ni bilo </t>
  </si>
  <si>
    <t>EV še ni ga bilo</t>
  </si>
  <si>
    <t>celje</t>
  </si>
  <si>
    <t>podatki: solaredge app:</t>
  </si>
  <si>
    <t>pridelek se januar 2024: 659 kwh</t>
  </si>
  <si>
    <t>poraba: 3.2 Mwh</t>
  </si>
  <si>
    <t>2023: 0/0</t>
  </si>
  <si>
    <t>slpec sporočil 31.1.2024</t>
  </si>
  <si>
    <t>Evo bom prvi</t>
  </si>
  <si>
    <t>JANUAR SE 13,5 kwh</t>
  </si>
  <si>
    <t>SE je naredila 1.102 kwh</t>
  </si>
  <si>
    <t>Največ je naredila 29.1. 70,2kwh</t>
  </si>
  <si>
    <t>Skupna poraba 1500 kwh</t>
  </si>
  <si>
    <t>Od tega hiša 490 kwh 6 oseb od tega 2 najstnika, 2 otroka</t>
  </si>
  <si>
    <t>TČ 450kwh, 24 st v hiši </t>
  </si>
  <si>
    <t>Voda 110 kwh, ogreta 46 st</t>
  </si>
  <si>
    <t>Skupaj 1050 kwh</t>
  </si>
  <si>
    <t>Zaokrožil sem na 10 natančno </t>
  </si>
  <si>
    <t>EV 700 kwh</t>
  </si>
  <si>
    <t>Doma 450 kwh</t>
  </si>
  <si>
    <t>Drugje 250 kwh</t>
  </si>
  <si>
    <t>30 % sem uspel direktno porabiti od proizvodnje SE</t>
  </si>
  <si>
    <t>Ime  bojan03</t>
  </si>
  <si>
    <t>pridelek SE 2024: 480 kwh</t>
  </si>
  <si>
    <t>celotna poraba: 1211 kwh</t>
  </si>
  <si>
    <t>ogrevanje + SV: 718 kwh</t>
  </si>
  <si>
    <t>direktna poraba: 198 kwh</t>
  </si>
  <si>
    <t>max. dnevni pridelek: 29. + 30.1 po 40,0 kwh</t>
  </si>
  <si>
    <t>Ime: oTTo</t>
  </si>
  <si>
    <t>Pridelek SE v januarju 2024: 647kWh</t>
  </si>
  <si>
    <t>Celotna poraba energije v januarju 2024*: 1684,9kWh (od tega EV 0 KWh).</t>
  </si>
  <si>
    <t>Opomba: Caa 250kw extra, ker se je grelec na TČ vklopil za 2 dni v najhujšem mrazu (neka softwerska napaka in tipalo kompresorja "zmrznilo"). V bajti pa nekje 250-270kW porabimo na mesec.</t>
  </si>
  <si>
    <t>lp,oTTo.</t>
  </si>
  <si>
    <t>oTTo</t>
  </si>
  <si>
    <t>Pridelek SE
jan24/jan23
%</t>
  </si>
  <si>
    <t>Samooskrba
januar 2024
%</t>
  </si>
  <si>
    <t>Urejeno po kWh/kWp (januar 2024)</t>
  </si>
  <si>
    <t>Ime: Veli</t>
  </si>
  <si>
    <t>Pridelek SE v januarju 2024: 891 kWh (649 kwh oddano v omrežje, 242 lastna poraba tj.27%  podatki iz solaredge app</t>
  </si>
  <si>
    <t>(po moj elektro - prejeta 1190,42 oddana 646,52)</t>
  </si>
  <si>
    <t>Celotna poraba energije v januarju 2024*: 1430 kWh (od tega EV 0 KWh)</t>
  </si>
  <si>
    <t>Ogrevanje in SV (sanitarna voda): TČ 761 kwh (566 TČ, 131 el grelci TČ, 55 sanitarna voda)</t>
  </si>
  <si>
    <t>Pridelek SE v januarju 2023: 322 kWh</t>
  </si>
  <si>
    <t>Celotna poraba energije v januarju 2023*:1444kwh</t>
  </si>
  <si>
    <t>Primerjava jan24/jan23. Mesečna samooskrbnost v januarju 2024.</t>
  </si>
  <si>
    <t>Ime: vip58</t>
  </si>
  <si>
    <t>Pridelek SE v januarju 2024: 805kWh</t>
  </si>
  <si>
    <t>Celotna poraba energije v januarju 2024*: 1320kWh</t>
  </si>
  <si>
    <t>Ogrevanje TČ in SV : 846kWh</t>
  </si>
  <si>
    <t>Pridelek SE v januarju 2023: 358 kWh</t>
  </si>
  <si>
    <t>Celotna poraba energije v januarju 2023*: 1290kWh</t>
  </si>
  <si>
    <t>Ogrevanje TČ in SV: 912kWh</t>
  </si>
  <si>
    <t>EV ni</t>
  </si>
  <si>
    <t>xavi sporočil 1.2.2024</t>
  </si>
  <si>
    <t>Ime: vrzislo</t>
  </si>
  <si>
    <t>Letošnji izplen v januarju se v moji zgodovini uvršča bolj v sredino.</t>
  </si>
  <si>
    <t>Izplen po letih</t>
  </si>
  <si>
    <t>2020: 77,4 kWh/kWp</t>
  </si>
  <si>
    <t>2021: 42,2</t>
  </si>
  <si>
    <t>2022: 68,5</t>
  </si>
  <si>
    <t>2023: 32,4</t>
  </si>
  <si>
    <t>2024: 48,6</t>
  </si>
  <si>
    <t>Tisti ki še nimate zgodovine lahko vidite meseci znajo zelo nihati v obe smeri.</t>
  </si>
  <si>
    <t>Ampak trditi, da pozimi ni nič od sončnic je pa vsekakor zelo narobe. Take napačne izjave dajejo tudi poznavalci električnega trga v medijih.</t>
  </si>
  <si>
    <t>vrzislo, ki je v tabeli, je 1.2.2024 napisal</t>
  </si>
  <si>
    <t>Mr_Fizl</t>
  </si>
  <si>
    <t>Dol pri Ljubljani</t>
  </si>
  <si>
    <t>Škofja Loka</t>
  </si>
  <si>
    <t>Zagnana 17.11.2023</t>
  </si>
  <si>
    <t>oTTo 2.2.2024 sporočil</t>
  </si>
  <si>
    <t>Caps: ZS mi neki ne dela:</t>
  </si>
  <si>
    <t>Paneli: 11.61</t>
  </si>
  <si>
    <t>az: 209 naklon: 36</t>
  </si>
  <si>
    <t>oddaja zaklenjena na: 10.8</t>
  </si>
  <si>
    <t>Pridelek 2023: 797kW (Zagnana 17.11.2023, Thx, F.)</t>
  </si>
  <si>
    <t>slepec je 2.2.2024 soročil</t>
  </si>
  <si>
    <t>Cops </t>
  </si>
  <si>
    <t>Pri porabi TČ za leto 2024 </t>
  </si>
  <si>
    <t>Seštej še vodo 110 kwh tako da je skupaj </t>
  </si>
  <si>
    <t>560kwh</t>
  </si>
  <si>
    <t>Lp Uroš</t>
  </si>
  <si>
    <t>Ime: letalec007</t>
  </si>
  <si>
    <t>Pridelek SE v januarju 2024: 484 kWh</t>
  </si>
  <si>
    <t>Celotna poraba energije v januarju 2024*: 1194,79 kWh (od tega EV 0 KWh)</t>
  </si>
  <si>
    <t>Pridelek SE v januarju 2023: 133 kWh</t>
  </si>
  <si>
    <t>Celotna poraba energije v januarju 2023*: 1098,55kWh (od tega EV 0 KWh)</t>
  </si>
  <si>
    <t>Ogrevanje in SV: TČ</t>
  </si>
  <si>
    <t>ufm</t>
  </si>
  <si>
    <t>Osrednja Slovenija, 380 m nm</t>
  </si>
  <si>
    <t>Moč MSE 12 kW</t>
  </si>
  <si>
    <t>Skupaj 28 panelov 440 W</t>
  </si>
  <si>
    <t>19 kos Z 245 29°</t>
  </si>
  <si>
    <t>9 kos V 65 19°</t>
  </si>
  <si>
    <t>Limitirana proizvodnja na 10 kW</t>
  </si>
  <si>
    <t>Soglasje z omejitvijo 3 kW</t>
  </si>
  <si>
    <t>Nastavljena limitirana oddaja na 2,85 kW</t>
  </si>
  <si>
    <t>Baterija kapaciteta 9,2 kWh</t>
  </si>
  <si>
    <t>Zagon 18.10.2023</t>
  </si>
  <si>
    <t>TČ visokotemperaturna</t>
  </si>
  <si>
    <t>...</t>
  </si>
  <si>
    <t>JANUAR</t>
  </si>
  <si>
    <t>Podatki iz SolarEdge app</t>
  </si>
  <si>
    <t>Production 343 kWh - v omrežje 105 (30%), v baterijo 7 (2%), sprotno 231 (68%)</t>
  </si>
  <si>
    <t>Consumption 1860 kWh - iz omrežja 1600 (86%), iz baterije 30 (2%), sprotno 230 (12%)</t>
  </si>
  <si>
    <t>Ko gledam na Moj Elektro na dnevna stanja/Mesečni povzetek vidim, da smo januarja oddali 128 kWh, prejeli pa 1690 kWh. To se ne ujema s podatki iz aplikacije, ki sem jih navedel zgoraj. Aplikacija pokaže manj oddaje in manj porabe iz omrežja. SO TE RAZLIKE NORMALNE? Merodajen je elektro števec, to prebira elektro.</t>
  </si>
  <si>
    <t>Danes sem se prijavil še na inverter (imam samo View Only). Ko primerjam podatke med SolarEdge aplikacijo in prebrane iz inverterja tudi prihaja do razlik. Na primer:</t>
  </si>
  <si>
    <t>Proizvodnja letos, prebrana iz inverterja 437 kWh, iz App 368. Razlika je 51</t>
  </si>
  <si>
    <t>Proizvodnja total, prebrana iz inverterja 1,44 MWh, iz App 1,28. Razlika je 160 kWh.</t>
  </si>
  <si>
    <t>ZAKAJ RAZLIKE. Lahko še kdo primerja?</t>
  </si>
  <si>
    <t>Še nekaj komentarjev na delovanje za januar. Kot ste videli imam panele</t>
  </si>
  <si>
    <t>......</t>
  </si>
  <si>
    <t>8.36 kW, 245
3.96 kW, 65</t>
  </si>
  <si>
    <t>29
19</t>
  </si>
  <si>
    <t>Zagon 18.10.2023
Baterija 9.2 kW
Limitirana proizvodnja na 10 kW, soglasje z omejitvijo 3 kW.</t>
  </si>
  <si>
    <t>Ponovim vpis oTTo, ker je bil vnos podatkov naknaden</t>
  </si>
  <si>
    <t>Osrednja Slovenija, 
380 m n.v.</t>
  </si>
  <si>
    <t>slepec sporočil nknadno</t>
  </si>
  <si>
    <t>Še nekaj bi bilo treba dodati, popraviti v tabeli</t>
  </si>
  <si>
    <t>EV saj pri meni</t>
  </si>
  <si>
    <t>450 kwh polnil doma</t>
  </si>
  <si>
    <t>250 kwh pa drugje</t>
  </si>
  <si>
    <t>Če kdo računa skupno porabo nekaj ni uredu</t>
  </si>
  <si>
    <t>Tako da bi dodal</t>
  </si>
  <si>
    <t>Doma + ostalo</t>
  </si>
  <si>
    <t>letalec 007 sporočil naknadno</t>
  </si>
  <si>
    <t>Pozabil na porabo TČ</t>
  </si>
  <si>
    <t>jan 23.494,3 kwh</t>
  </si>
  <si>
    <t>jan 24 541,5 kwh</t>
  </si>
  <si>
    <t>Hvala</t>
  </si>
  <si>
    <t>Dave 4.2.2024 sporočil:</t>
  </si>
  <si>
    <t>Januar proizvedeno 490,68 kWh</t>
  </si>
  <si>
    <t>Poraba TČ za ogrevanje 599.11 kWh..</t>
  </si>
  <si>
    <t>Več podatkov na žalost ne morem podati, zaradi težav z portalom moj elektro...</t>
  </si>
  <si>
    <t>Labelsm</t>
  </si>
  <si>
    <t>Proizvodnja 470 kWh</t>
  </si>
  <si>
    <t>Komplet poraba 1850kWh</t>
  </si>
  <si>
    <t>TČ + SV 1310 kWh</t>
  </si>
  <si>
    <t>Do 20.1 je še elektrarna senčena zaradi gozda .</t>
  </si>
  <si>
    <t>4 dni pod snegom proizvodnja nič.</t>
  </si>
  <si>
    <t>labelsm 4.2.2024 sporočil:</t>
  </si>
  <si>
    <t>MAGS 9.2.2024 sporočil</t>
  </si>
  <si>
    <t>@vrzislo  VSolar Edge števec je danes obrnil 75 MWh pridelka.</t>
  </si>
  <si>
    <t>Čestitke za tako lep izplen, si bil res med prvimi, verjetno bo kmalu, če se že ni zamortizirala.</t>
  </si>
  <si>
    <t>Pri meni je ta št. 45 MWh in gre aprila v peto sezono.</t>
  </si>
  <si>
    <t>Za sedaj vse BP.</t>
  </si>
  <si>
    <t>Zagon aprila 2020</t>
  </si>
  <si>
    <t>Letalec</t>
  </si>
  <si>
    <t>okolica Bleda</t>
  </si>
  <si>
    <t>Priklop 5.2.2024</t>
  </si>
  <si>
    <t>du77a je 9.2.2024 sporočil:</t>
  </si>
  <si>
    <t>Malo pozno, ampak upam, da ne prepozno, še moji podatki:</t>
  </si>
  <si>
    <t>16.01.24 39,3 kWh</t>
  </si>
  <si>
    <t>17.01.24 2,3 kWh</t>
  </si>
  <si>
    <t>ET A+ : 1.220</t>
  </si>
  <si>
    <t>ET A- : 525</t>
  </si>
  <si>
    <t>SolarEdge proizvedeno: 715 kWh</t>
  </si>
  <si>
    <t>Skupna poraba torej: 1.410 kWh</t>
  </si>
  <si>
    <t>Toplotna črpalka poraba: 775 kWh (580 kWh ogrevanje, 195 kWh STV)</t>
  </si>
  <si>
    <t>Januar 2024</t>
  </si>
  <si>
    <t>Letalec (novi) je 9.2.2024 sporočil:</t>
  </si>
  <si>
    <t>Pozdravljeni,</t>
  </si>
  <si>
    <t>Sem nov tukaj, 5. feb 24 so mi novo elektrarno končno priklopili (elektrarna postavljena že 16. nov. 2023) soglasje/omejitev na 11,2 kW  instalirana moč 11,745 kWp(smo malo zaokrožili navzgor) okolica Bleda. Vgrajen tudi "energymeter".</t>
  </si>
  <si>
    <t>Lepo deluje,     še na današnji, povsem oblačen dan sem pridelal 10,17 kWh (!)</t>
  </si>
  <si>
    <t>9.2.2024</t>
  </si>
  <si>
    <t>misace</t>
  </si>
  <si>
    <t>45
35</t>
  </si>
  <si>
    <t>pri Radovljici</t>
  </si>
  <si>
    <t>8.16 kW, 135
3.40 kW, 225</t>
  </si>
  <si>
    <t>Priklop marec 2022</t>
  </si>
  <si>
    <t>misace 16.2.2024 sporočil:</t>
  </si>
  <si>
    <t>januar 2024 </t>
  </si>
  <si>
    <t>0,66 MWh. </t>
  </si>
  <si>
    <t>11,56 kW SE ("zaklenjena na 10,56 kW" oddajanja) pri Radovljici. 8 panelov azimut 45, ostalih 26 pa azimut -45. Naklon strehe 35 in 42.</t>
  </si>
  <si>
    <t>včeraj dogovoril 3 k za nadgradnjo za 6 x 380 panele z montažo</t>
  </si>
  <si>
    <t>misace 21.2.2024 sporočil še:</t>
  </si>
  <si>
    <t>Se opravičujem za pozen odgovor, "fizična" postavitev panelov, 135 in 45 verjetno bolj ok.</t>
  </si>
  <si>
    <t>misace 21.2.2024 poslal še sliko panelov, kjer je 24 pnelov na JV in 10  panelov na JZ.</t>
  </si>
  <si>
    <r>
      <rPr>
        <b/>
        <sz val="11"/>
        <color theme="1"/>
        <rFont val="Calibri"/>
        <family val="2"/>
        <scheme val="minor"/>
      </rPr>
      <t xml:space="preserve">Azimut </t>
    </r>
    <r>
      <rPr>
        <sz val="11"/>
        <color theme="1"/>
        <rFont val="Calibri"/>
        <family val="2"/>
        <scheme val="minor"/>
      </rPr>
      <t xml:space="preserve">tukaj je kot merjen od smeri </t>
    </r>
    <r>
      <rPr>
        <b/>
        <sz val="11"/>
        <color theme="1"/>
        <rFont val="Calibri"/>
        <family val="2"/>
        <scheme val="minor"/>
      </rPr>
      <t>severa</t>
    </r>
    <r>
      <rPr>
        <sz val="11"/>
        <color theme="1"/>
        <rFont val="Calibri"/>
        <family val="2"/>
        <scheme val="minor"/>
      </rPr>
      <t xml:space="preserve"> v smeri urinega kazalca: vzhod = 90°, jug = 180°, zahod = 270°</t>
    </r>
  </si>
  <si>
    <t>Priklop 28.2.2024
TČ le za sanitarno vodo</t>
  </si>
  <si>
    <t>simbala007</t>
  </si>
  <si>
    <t>okolica Zagorja ob Savi</t>
  </si>
  <si>
    <t>16.6
16.8</t>
  </si>
  <si>
    <t>11.475 kW, 125.9
0.850 kW, 305.9</t>
  </si>
  <si>
    <t>Pridelek SE
februar 2024
kWh</t>
  </si>
  <si>
    <t>Relat. pridelek SE
februar 2024
kWh/kWp</t>
  </si>
  <si>
    <t>Celotna poraba
februar 2024
kWh</t>
  </si>
  <si>
    <t>Poraba za EV
februar 2024
kWh</t>
  </si>
  <si>
    <t>Poraba za TČ
februar 2024
kWh</t>
  </si>
  <si>
    <t>Pridelek SE
februar 2023
kWh</t>
  </si>
  <si>
    <t>Relat. pridelek SE
februar 2023
kWh/kWp</t>
  </si>
  <si>
    <t>Celotna poraba
februar 2023
kWh</t>
  </si>
  <si>
    <t>Poraba za EV
februar 2023
kWh</t>
  </si>
  <si>
    <t>Poraba za TČ
februar 2023
kWh</t>
  </si>
  <si>
    <t>Primerjava feb24/feb23. Mesečna samooskrbnost v februarju 2024.</t>
  </si>
  <si>
    <t>Urejeno po kWh/kWp (februar 2024)</t>
  </si>
  <si>
    <t>Pridelek SE
feb24/feb23
%</t>
  </si>
  <si>
    <t>Samooskrba
februar 2024
%</t>
  </si>
  <si>
    <t>PODATKI ZA FEBRUAR 2024 (samoiniciativno pošiljali)</t>
  </si>
  <si>
    <t>870 februar(lani še nisem imel) januarja 700))poraba cele hiše pa 680kwh, kar je dost manj kot lanski februar, ko je bilo 790kwh</t>
  </si>
  <si>
    <t>sašo65 sporočil 29.2.2024:</t>
  </si>
  <si>
    <t>vrzislo 29.2.2024 sporočil:</t>
  </si>
  <si>
    <t>Kljub 29 dnevom v februarju letos pridelek samo 964 kWh. To je 66,9 kWh/kWp.</t>
  </si>
  <si>
    <t>Proizvodnja je pokrila pol porabe gospodinjstva.</t>
  </si>
  <si>
    <t>Lani in predlani je bil februar za 22 odstotkov boljši.</t>
  </si>
  <si>
    <t>Februar 2024: 506 kWh (50,1 kWh/kWp), SE pokrila 54% porabe</t>
  </si>
  <si>
    <t>Februar 2023: 661 kWh (65,4 kWh/kWp), SE pokrila 95% porabe (še ni bilo TČ)</t>
  </si>
  <si>
    <t>caps 29.2.2024 sporočil:</t>
  </si>
  <si>
    <t>Fery 29.2.2024 sporočil:</t>
  </si>
  <si>
    <t>Januar 2023 290 kWh plus februar 2023 1,09 MWh je 1,38 MWh.</t>
  </si>
  <si>
    <t>Januar 2024 930 kWh plus februar 2024 795 kWh je 1,725 MWh.</t>
  </si>
  <si>
    <t>Februar 2024:</t>
  </si>
  <si>
    <t>prejeto 642,28 kwh</t>
  </si>
  <si>
    <t>oddano 532,98 kwh</t>
  </si>
  <si>
    <t>Razlika prejeta porabljena energija mesec februar 109 kw,  oz. pokritost  83% celotne porabe. Ogrevanje z TČ. Kar solidno.</t>
  </si>
  <si>
    <t>Pokritost  2024    56,5%.</t>
  </si>
  <si>
    <t>82,15  kwh/kwp.</t>
  </si>
  <si>
    <t>xsavi 1.3.2024 sporočil:</t>
  </si>
  <si>
    <t>celje 1.3.2024 sporočil:</t>
  </si>
  <si>
    <t>Januar 2024: 676 kwh, poraba 3.2 kwh</t>
  </si>
  <si>
    <t>Februar 2024: 991 kwh, poraba 2.4 kwh</t>
  </si>
  <si>
    <t>Migaj 1.3.2024 sporočil:</t>
  </si>
  <si>
    <t>Februar: proizvodnja 0,88 MWh, skupna poraba 1,21 MWh.</t>
  </si>
  <si>
    <t>Januar-Februar: proizvodnja 1,63 MWh,  skupna poraba 3,23 MWh, od tega TČ za ogrevanje in TSV 2,6 MWh.</t>
  </si>
  <si>
    <t>Caps hvala za odgovor. </t>
  </si>
  <si>
    <t>Prosim, da me vpišeš .Tu je popravek, ne vem, zakaj mi forum ne dovoli, da ti odgovorim ali citiram objavo...</t>
  </si>
  <si>
    <t>Pozdravljeni. Včeraj priključili SE, končno. Vesel kot radio.  </t>
  </si>
  <si>
    <t>Čakal en mesec električarja.</t>
  </si>
  <si>
    <t>27 panelov na JV - Azimuth 125,9 stopinj Tilt 16,6 stopinj</t>
  </si>
  <si>
    <t>2 panela na Z - Azimuth 305,9 stopinj Tilt 16,8 stopinj</t>
  </si>
  <si>
    <t>SE 12,61 kW</t>
  </si>
  <si>
    <t>odobritev za 11,28 kW</t>
  </si>
  <si>
    <t>limitacija na 10,6 kW - sem že rekel, naj mi spremenijo na 11,2</t>
  </si>
  <si>
    <t>TČ le za sanitarno vodo</t>
  </si>
  <si>
    <t>simbala007 1.3.2024 sporočil:</t>
  </si>
  <si>
    <t>slepec 2.3.2024 sporočil:</t>
  </si>
  <si>
    <t>A še pošiljamo mesečne podatke</t>
  </si>
  <si>
    <t>FEBRUAR </t>
  </si>
  <si>
    <t>SE  950 KWH</t>
  </si>
  <si>
    <t>PORABA 147O KWH</t>
  </si>
  <si>
    <t>HIŠA 800 KW SKUPAJ</t>
  </si>
  <si>
    <t>OGREVANJE 202 KW</t>
  </si>
  <si>
    <t>VODA 100 KW</t>
  </si>
  <si>
    <t>EV 670 kW</t>
  </si>
  <si>
    <t>LETOS SE 2050 kwh</t>
  </si>
  <si>
    <t>PORABA 3000 kwh</t>
  </si>
  <si>
    <t>Direktni izkoristek SE JE 35%</t>
  </si>
  <si>
    <t>Avatar 2.3.2024 sporočil:</t>
  </si>
  <si>
    <t>Proizvodnja v februarju 977 kwh ali 76kwh/kwp. Poraba 1390 kwh, tako da je pokritost 70%. Lansko februar pa nadpovprečno dober, 1260 kwh, skor 100 kwh/kwp.</t>
  </si>
  <si>
    <t>JaBK 2.3.2024 sporočila:</t>
  </si>
  <si>
    <t>Uf... Pri nas 48,4kWh/kwp. Najslabsi februar v 3 letih, kar imamo SE.</t>
  </si>
  <si>
    <t>Pridelek SE
marec 2024
kWh</t>
  </si>
  <si>
    <t>Relat. pridelek SE
marec 2024
kWh/kWp</t>
  </si>
  <si>
    <t>Celotna poraba
marec 2024
kWh</t>
  </si>
  <si>
    <t>Poraba za EV
marec 2024
kWh</t>
  </si>
  <si>
    <t>Poraba za TČ
marec 2024
kWh</t>
  </si>
  <si>
    <t>Pridelek SE
marec 2023
kWh</t>
  </si>
  <si>
    <t>Relat. pridelek SE
marec 2023
kWh/kWp</t>
  </si>
  <si>
    <t>Celotna poraba
marec 2023
kWh</t>
  </si>
  <si>
    <t>Poraba za EV
marec 2023
kWh</t>
  </si>
  <si>
    <t>Poraba za TČ
marec 2023
kWh</t>
  </si>
  <si>
    <t/>
  </si>
  <si>
    <t>Urejeno po kWh/kWp (marec 2024)</t>
  </si>
  <si>
    <t>Pridelek SE
mar24/mar23
%</t>
  </si>
  <si>
    <t>Samooskrba
marec 2024
%</t>
  </si>
  <si>
    <t>Primerjava mar24/mar23. Mesečna samooskrbnost v marcu 2024.</t>
  </si>
  <si>
    <t>MAREC 2024</t>
  </si>
  <si>
    <t>-------------------------------------------------------</t>
  </si>
  <si>
    <r>
      <t>1. Ime: </t>
    </r>
    <r>
      <rPr>
        <b/>
        <sz val="7"/>
        <color rgb="FF333333"/>
        <rFont val="Tahoma"/>
        <family val="2"/>
      </rPr>
      <t>Caps</t>
    </r>
  </si>
  <si>
    <r>
      <t>2. Pridelek SE marec 24, kWh: </t>
    </r>
    <r>
      <rPr>
        <b/>
        <sz val="7"/>
        <color rgb="FF333333"/>
        <rFont val="Tahoma"/>
        <family val="2"/>
      </rPr>
      <t>844</t>
    </r>
  </si>
  <si>
    <r>
      <t>3. Vsa poraba v marcu 24, kWh: </t>
    </r>
    <r>
      <rPr>
        <b/>
        <sz val="7"/>
        <color rgb="FF333333"/>
        <rFont val="Tahoma"/>
        <family val="2"/>
      </rPr>
      <t>883</t>
    </r>
  </si>
  <si>
    <t>- Če ni Energy metra, potem iz Moj Elektro:</t>
  </si>
  <si>
    <t>4. Oddaja v omrežje marca 24, kWh:</t>
  </si>
  <si>
    <t>5. Prevzem iz omrežja marca 24, kWh:</t>
  </si>
  <si>
    <t>---------- Še za lansko leto:</t>
  </si>
  <si>
    <r>
      <t>6. Pridelek SE marec 23, kWh: </t>
    </r>
    <r>
      <rPr>
        <b/>
        <sz val="7"/>
        <color rgb="FF333333"/>
        <rFont val="Tahoma"/>
        <family val="2"/>
      </rPr>
      <t>917</t>
    </r>
  </si>
  <si>
    <r>
      <t>7. Vsa poraba v marcu 23, kWh: </t>
    </r>
    <r>
      <rPr>
        <b/>
        <sz val="7"/>
        <color rgb="FF333333"/>
        <rFont val="Tahoma"/>
        <family val="2"/>
      </rPr>
      <t>974</t>
    </r>
  </si>
  <si>
    <t>- Če ni Energy metra, potem iz Moj Elektro:</t>
  </si>
  <si>
    <t>8. Oddaja v omrežje marca 23, kWh:</t>
  </si>
  <si>
    <t>9. Prevzem iz omrežja marca 23, kWh:</t>
  </si>
  <si>
    <t>10. OPOMBE: </t>
  </si>
  <si>
    <r>
      <t>1. Ime: </t>
    </r>
    <r>
      <rPr>
        <b/>
        <sz val="7"/>
        <color rgb="FF333333"/>
        <rFont val="Tahoma"/>
        <family val="2"/>
      </rPr>
      <t>vip58</t>
    </r>
  </si>
  <si>
    <r>
      <t>2. Pridelek SE marec 24, kWh: </t>
    </r>
    <r>
      <rPr>
        <b/>
        <sz val="7"/>
        <color rgb="FF333333"/>
        <rFont val="Tahoma"/>
        <family val="2"/>
      </rPr>
      <t>1153</t>
    </r>
  </si>
  <si>
    <r>
      <t>3. Vsa poraba v marcu 24, kWh: </t>
    </r>
    <r>
      <rPr>
        <b/>
        <sz val="7"/>
        <color rgb="FF333333"/>
        <rFont val="Tahoma"/>
        <family val="2"/>
      </rPr>
      <t>835</t>
    </r>
  </si>
  <si>
    <r>
      <t>4. Oddaja v omrežje marca 24, kWh:</t>
    </r>
    <r>
      <rPr>
        <b/>
        <sz val="7"/>
        <color rgb="FF333333"/>
        <rFont val="Tahoma"/>
        <family val="2"/>
      </rPr>
      <t>890</t>
    </r>
  </si>
  <si>
    <r>
      <t>5. Prevzem iz omrežja marca 24, kWh:</t>
    </r>
    <r>
      <rPr>
        <b/>
        <sz val="7"/>
        <color rgb="FF333333"/>
        <rFont val="Tahoma"/>
        <family val="2"/>
      </rPr>
      <t>561</t>
    </r>
  </si>
  <si>
    <r>
      <t>6. Pridelek SE marec 23, kWh: </t>
    </r>
    <r>
      <rPr>
        <b/>
        <sz val="7"/>
        <color rgb="FF333333"/>
        <rFont val="Tahoma"/>
        <family val="2"/>
      </rPr>
      <t>1164</t>
    </r>
  </si>
  <si>
    <r>
      <t>7. Vsa poraba v marcu 23, kWh: </t>
    </r>
    <r>
      <rPr>
        <b/>
        <sz val="7"/>
        <color rgb="FF333333"/>
        <rFont val="Tahoma"/>
        <family val="2"/>
      </rPr>
      <t>905</t>
    </r>
  </si>
  <si>
    <r>
      <t>8. Oddaja v omrežje marca 23, kWh:</t>
    </r>
    <r>
      <rPr>
        <b/>
        <sz val="7"/>
        <color rgb="FF333333"/>
        <rFont val="Tahoma"/>
        <family val="2"/>
      </rPr>
      <t>900</t>
    </r>
  </si>
  <si>
    <r>
      <t>9. Prevzem iz omrežja marca 23, kWh:</t>
    </r>
    <r>
      <rPr>
        <b/>
        <sz val="7"/>
        <color rgb="FF333333"/>
        <rFont val="Tahoma"/>
        <family val="2"/>
      </rPr>
      <t>641</t>
    </r>
  </si>
  <si>
    <t>10. OPOMBE:  Letos še 380kWh v minusu,lani 870 v tem času. Razlika zaradi dobrega januarja in nekaj manjše porabe.</t>
  </si>
  <si>
    <t>1. Ime: MAGS</t>
  </si>
  <si>
    <t>2. Pridelek SE marec 24, kWh: 914</t>
  </si>
  <si>
    <t>3. Vsa poraba v marcu 24, kWh: 1.081</t>
  </si>
  <si>
    <t>- iz Moj Elektro:</t>
  </si>
  <si>
    <t>4. Oddaja v omrežje marca 24, kWh:638</t>
  </si>
  <si>
    <t>5. Prevzem iz omrežja marca 24, kWh:805</t>
  </si>
  <si>
    <t>6. Pridelek SE marec 23, kWh: 917</t>
  </si>
  <si>
    <t>7. Vsa poraba v marcu 23, kWh: 1.060</t>
  </si>
  <si>
    <t>8. Oddaja v omrežje marca 23, kWh:633</t>
  </si>
  <si>
    <t>9. Prevzem iz omrežja marca 23, kWh:776</t>
  </si>
  <si>
    <t>10. OPOMBE: Marec 23 in 24 zelo podobna , sta pa bila marec 21 in 22 za cca. 30% boljša</t>
  </si>
  <si>
    <t>Ime: wilson34</t>
  </si>
  <si>
    <t>Solaredge 970</t>
  </si>
  <si>
    <t>Oddana ET 653</t>
  </si>
  <si>
    <t>Prejeta ET 753</t>
  </si>
  <si>
    <t>MAREC 2023</t>
  </si>
  <si>
    <t>Solaredge 1002</t>
  </si>
  <si>
    <t>Oddana ET 682</t>
  </si>
  <si>
    <t>Prejeta ET 788</t>
  </si>
  <si>
    <t>Caps, če lahko prosim dodaš, nekje v excel tabelo predlog za izračune, se pravi da sami ne izracunavamo koliko smo oddali v omrežje, porabili, koliko so viški itd...</t>
  </si>
  <si>
    <t>10. OPOMBE: Cel februar in pol marca odsotnost cele družine zaradi renovacije hiše. Toplotna je bila prižgana na 25°C v notranjih prostorih zaradi sušenja estriha, ometov, kitanja, in ostalih soboslikarskih del. Drugace je notranji termostat nastavljen tako, da je v hisi 22°C.</t>
  </si>
  <si>
    <t>Ime: slepec </t>
  </si>
  <si>
    <r>
      <t>2. Pridelek SE marec 24, kWh: </t>
    </r>
    <r>
      <rPr>
        <b/>
        <sz val="12"/>
        <color rgb="FF333333"/>
        <rFont val="Tahoma"/>
        <family val="2"/>
      </rPr>
      <t>1350</t>
    </r>
  </si>
  <si>
    <t>3. Vsa poraba v marcu 24, kWh: 1150</t>
  </si>
  <si>
    <t>Hiša </t>
  </si>
  <si>
    <t>Ev</t>
  </si>
  <si>
    <t>1. Ime: Letalec007</t>
  </si>
  <si>
    <t>2. Pridelek SE marec 24, kWh: 840</t>
  </si>
  <si>
    <t>3. Vsa poraba v marcu 24, kWh: 844,66</t>
  </si>
  <si>
    <t>4. Oddaja v omrežje marca 24, kWh:673,83</t>
  </si>
  <si>
    <t>5. Prevzem iz omrežja marca 24, kWh:678,49</t>
  </si>
  <si>
    <t>6. Pridelek SE marec 23, kWh: 866</t>
  </si>
  <si>
    <t>7. Vsa poraba v marcu 23, kWh: 936,5</t>
  </si>
  <si>
    <t>8. Oddaja v omrežje marca 23, kWh:680,97</t>
  </si>
  <si>
    <t>9. Prevzem iz omrežja marca 23, kWh:751,47</t>
  </si>
  <si>
    <t>10. OPOMBE:</t>
  </si>
  <si>
    <t>ime:  bojan 03</t>
  </si>
  <si>
    <t>pridelek marec 24:  887kwh</t>
  </si>
  <si>
    <t>vsa poraba v marcu 24:  863 od tega TČ 453kwh</t>
  </si>
  <si>
    <t>oddaja v onrežje marec 24:  629kwh</t>
  </si>
  <si>
    <t>prevzem iz omrežja marec 24:  605kwh</t>
  </si>
  <si>
    <t>SE  v marcu še ni bilo.</t>
  </si>
  <si>
    <t>LP, pa vesele praznike še naprej.</t>
  </si>
  <si>
    <t>pridelek marec 24: 1380kwh</t>
  </si>
  <si>
    <t>vsa poraba v marcu 24: 896 (hiša+ EV).</t>
  </si>
  <si>
    <t>1. Ime: du77a</t>
  </si>
  <si>
    <t>2. Pridelek SE marec 24, kWh: 1136</t>
  </si>
  <si>
    <t>3. Vsa poraba v marcu 24, kWh: 948</t>
  </si>
  <si>
    <t>4. Oddaja v omrežje marca 24, kWh: 898</t>
  </si>
  <si>
    <t>5. Prevzem iz omrežja marca 24, kWh: 710</t>
  </si>
  <si>
    <t>6. Pridelek SE marec 23, kWh: 1089</t>
  </si>
  <si>
    <t>7. Vsa poraba v marcu 23, kWh: 737</t>
  </si>
  <si>
    <t>8. Oddaja v omrežje marca 23, kWh: 836</t>
  </si>
  <si>
    <t>9. Prevzem iz omrežja marca 23, kWh: 564</t>
  </si>
  <si>
    <t>Stanje Marec 24:</t>
  </si>
  <si>
    <t>- proizvodnja je bila 947 kWh</t>
  </si>
  <si>
    <t>- oddano 747 kWh</t>
  </si>
  <si>
    <t>- prejeto 382 kWh</t>
  </si>
  <si>
    <t>Bilanca je +365 kWh. Po 12.3. smo bili vsak dan v dnevnem plusu.</t>
  </si>
  <si>
    <t>Marec 2024 - 982 kwh (marec 2023 - 994 kwh)</t>
  </si>
  <si>
    <t>Skupna poraba 781 kwh.</t>
  </si>
  <si>
    <t>prejeta energija 553 kwh</t>
  </si>
  <si>
    <t>oddana energija 754 kwh</t>
  </si>
  <si>
    <t>razlika + 201 kwh</t>
  </si>
  <si>
    <t>izkoristek 108,87 kwh/kwp. (moč SE 9,02kw)</t>
  </si>
  <si>
    <t>Brez saharskega peska bi bila letošnja proizvodnja tam tam z lansko.</t>
  </si>
  <si>
    <t>Sicer prva polovica meseca zelo slaba, nadaljevanje solidno.</t>
  </si>
  <si>
    <t>Pošiljam kar za vse tri mesece ker nisem nič pošiljal.</t>
  </si>
  <si>
    <t>Ime: SebaR</t>
  </si>
  <si>
    <t>1. Pridelek SE kWh: 430</t>
  </si>
  <si>
    <t>2. Vsa poraba kWh: 1430</t>
  </si>
  <si>
    <t>- Energy meter:</t>
  </si>
  <si>
    <t>3. Oddaja v omrežje kWh: 230</t>
  </si>
  <si>
    <t>4. Prevzem iz omrežja kWh: 1230</t>
  </si>
  <si>
    <t>X. Poraba TČ: 1098 kW</t>
  </si>
  <si>
    <t>---------- Še za lansko leto (januar 23):</t>
  </si>
  <si>
    <t>5. Pridelek SE kWh: 246</t>
  </si>
  <si>
    <t>6. Vsa poraba kWh: 1320</t>
  </si>
  <si>
    <t>7. Oddaja v omrežje kWh: 116</t>
  </si>
  <si>
    <t>8. Prevzem iz omrežja kWh: 1190</t>
  </si>
  <si>
    <t>X. Poraba TČ: 1063 kW</t>
  </si>
  <si>
    <t>9. OPOMBE:</t>
  </si>
  <si>
    <t>FEBRUAR</t>
  </si>
  <si>
    <t>1. Pridelek SE kWh: 683</t>
  </si>
  <si>
    <t>2. Vsa poraba kWh: 921</t>
  </si>
  <si>
    <t>3. Oddaja v omrežje kWh: 388</t>
  </si>
  <si>
    <t>4. Prevzem iz omrežja kWh: 626</t>
  </si>
  <si>
    <t>x. Poraba TČ: 633kW</t>
  </si>
  <si>
    <t>---------- Še za lansko leto (februar 23):</t>
  </si>
  <si>
    <t>5. Pridelek SE kWh: 763</t>
  </si>
  <si>
    <t>6. Vsa poraba kWh: 1060</t>
  </si>
  <si>
    <t>7. Oddaja v omrežje kWh: 508</t>
  </si>
  <si>
    <t>8. Prevzem iz omrežja kWh: 800</t>
  </si>
  <si>
    <t>X. Poraba TČ: 836 kW</t>
  </si>
  <si>
    <t>9. OPOMBE: Okvara enega panela (380w)</t>
  </si>
  <si>
    <t>MAREC</t>
  </si>
  <si>
    <t>1. Pridelek SE kWh: 956</t>
  </si>
  <si>
    <t>2. Vsa poraba kWh: 807</t>
  </si>
  <si>
    <t>3. Oddaja v omrežje kWh: 613</t>
  </si>
  <si>
    <t>4. Prevzem iz omrežja kWh: 463</t>
  </si>
  <si>
    <t>X. Poraba TČ: 518kW</t>
  </si>
  <si>
    <t>---------- Še za lansko leto (marec 23):</t>
  </si>
  <si>
    <t>5. Pridelek SE kWh: 1050</t>
  </si>
  <si>
    <t>6. Vsa poraba kWh: 883</t>
  </si>
  <si>
    <t>7. Oddaja v omrežje kWh: 700</t>
  </si>
  <si>
    <t>8. Prevzem iz omrežja kWh: 533</t>
  </si>
  <si>
    <t>X. Poraba TČ: 625kW</t>
  </si>
  <si>
    <t>............................</t>
  </si>
  <si>
    <t>pridelava marec 2024: 1,48 Mwh</t>
  </si>
  <si>
    <t>poraba : 2.2 Mwh</t>
  </si>
  <si>
    <t>(podatki iz solaredge appa).</t>
  </si>
  <si>
    <t>2023 marec n/n</t>
  </si>
  <si>
    <t>Celje sporočil 2.4.2024</t>
  </si>
  <si>
    <t>sašo65 2.4.2024 sporočil</t>
  </si>
  <si>
    <t>marec 24 pridelala 1.17 mega Poraba 585 kwh</t>
  </si>
  <si>
    <t>Sem pa danes prvič videl(od julija lani dela) da je trenutni izplen 10.9kw ob 13:45h.....kar je tudi limit oz. omejitev (11,2 je soglasje) pa so, da nebi metalo ven, omeji moč na 10.9</t>
  </si>
  <si>
    <t>Januar:</t>
  </si>
  <si>
    <t>1. Ime: JohnSnow</t>
  </si>
  <si>
    <t>2. Pridelek SE januar kWh: 720</t>
  </si>
  <si>
    <t>3. Vsa poraba v januarju kWh: 1829</t>
  </si>
  <si>
    <t>4. Oddaja v omrežje januarja kWh: 271</t>
  </si>
  <si>
    <t>5. Prevzem iz omrežja januarja kWh: 1380</t>
  </si>
  <si>
    <t>x. poraba TČ: 1008kW</t>
  </si>
  <si>
    <t>Februar:</t>
  </si>
  <si>
    <t>2. Pridelek SE februar kWh: 697</t>
  </si>
  <si>
    <t>3. Vsa poraba v februarju kWh: 1305</t>
  </si>
  <si>
    <t>4. Oddaja v omrežje februarja kWh: 353</t>
  </si>
  <si>
    <t>5. Prevzem iz omrežja februarja kWh: 961</t>
  </si>
  <si>
    <t>x. poraba TČ: 893kW</t>
  </si>
  <si>
    <t>Marec:</t>
  </si>
  <si>
    <t>2. Pridelek SE marec kWh: 1110</t>
  </si>
  <si>
    <t>3. Vsa poraba v marcu kWh: 1218</t>
  </si>
  <si>
    <t>4. Oddaja v omrežje marca kWh: 678</t>
  </si>
  <si>
    <t>5. Prevzem iz omrežja marca kWh: 786</t>
  </si>
  <si>
    <t>x. poraba TČ: 553kW</t>
  </si>
  <si>
    <t>.....</t>
  </si>
  <si>
    <t>1. Pridelek SE kWh: 758</t>
  </si>
  <si>
    <t>2. Vsa poraba kWh: 659</t>
  </si>
  <si>
    <t>X. Poraba TČ: 290kW</t>
  </si>
  <si>
    <t>Še za lansko leto (marec 23):</t>
  </si>
  <si>
    <t>1. Pridelek SE kWh: 824</t>
  </si>
  <si>
    <t>2. Vsa poraba kWh: 695</t>
  </si>
  <si>
    <t>X. Poraba TČ: 304kW</t>
  </si>
  <si>
    <t>............</t>
  </si>
  <si>
    <t>sašo65 je korigiral kWp</t>
  </si>
  <si>
    <t>@Caps 》11,47 je moč.....(27 panelov po 425w) ....nisem vedel to kar pišeš, sem mislil sonce je sonce....vem pa, da je odvisno od nagiba strehe....24,6% in azimut 191 je pri meni....več ali manj idealno...</t>
  </si>
  <si>
    <t>1. Ime: Veli</t>
  </si>
  <si>
    <t>2. Pridelek SE marec 24, MWh: 1,10</t>
  </si>
  <si>
    <t>3. Vsa poraba v marcu 24, MWh: 1,10</t>
  </si>
  <si>
    <t>4. Oddaja v omrežje marca 24, kWh:0,79Mwh</t>
  </si>
  <si>
    <t>5. Prevzem iz omrežja marca 24, kWh: 0,79Mwh</t>
  </si>
  <si>
    <t>6. Pridelek SE marec 23, kWh: 1,28Mwh</t>
  </si>
  <si>
    <t>7. Vsa poraba v marcu 23, kWh: -še nisem imel metra-</t>
  </si>
  <si>
    <t>8. Oddaja v omrežje marca 23, kWh:984,76</t>
  </si>
  <si>
    <t>9. Prevzem iz omrežja marca 23, kWh:721,24</t>
  </si>
  <si>
    <t>Zagon julij 2023
kWp = 27 x 425W</t>
  </si>
  <si>
    <t>3.4.2024 15:14</t>
  </si>
  <si>
    <t>3.4.2024 15:15</t>
  </si>
  <si>
    <t>oTTo 8.4.2024 sporočil</t>
  </si>
  <si>
    <t>Mal z zamudo.</t>
  </si>
  <si>
    <t>1. Ime: oTTo</t>
  </si>
  <si>
    <t>2. Pridelek SE marec 24, kWh: 997</t>
  </si>
  <si>
    <t>3. Vsa poraba v marcu 24, kWh: 880</t>
  </si>
  <si>
    <t>4. Oddaja v omrežje marca 24, kWh: 795,23</t>
  </si>
  <si>
    <t>5. Prevzem iz omrežja marca 24, kWh:678,6</t>
  </si>
  <si>
    <t>lp,oTTo</t>
  </si>
  <si>
    <t>Pridelek SE
april 2024
kWh</t>
  </si>
  <si>
    <t>Relat. pridelek SE
april 2024
kWh/kWp</t>
  </si>
  <si>
    <t>Celotna poraba
april 2024
kWh</t>
  </si>
  <si>
    <t>Poraba za EV
april 2024
kWh</t>
  </si>
  <si>
    <t>Poraba za TČ
april 2024
kWh</t>
  </si>
  <si>
    <t>Pridelek in mesečna samooskrbnost v aprilu 2024.</t>
  </si>
  <si>
    <t>Urejeno po kWh/kWp (april 2024)</t>
  </si>
  <si>
    <t>Samooskrba
april 2024
%</t>
  </si>
  <si>
    <t>Pridelek SE
maj 2024
kWh</t>
  </si>
  <si>
    <t>Relat. pridelek SE
maj 2024
kWh/kWp</t>
  </si>
  <si>
    <t>Celotna poraba
maj 2024
kWh</t>
  </si>
  <si>
    <t>Poraba za EV
maj 2024
kWh</t>
  </si>
  <si>
    <t>Poraba za TČ
maj 2024
kWh</t>
  </si>
  <si>
    <t>Pridelek in mesečna samooskrbnost v maju 2024.</t>
  </si>
  <si>
    <t>Urejeno po kWh/kWp (maj 2024)</t>
  </si>
  <si>
    <t>Samooskrba
maj 2024
%</t>
  </si>
  <si>
    <t>................................................</t>
  </si>
  <si>
    <t>1. Ime: Caps</t>
  </si>
  <si>
    <t>2. Pridelek SE april 24, kWh: 1273</t>
  </si>
  <si>
    <t>3. Vsa poraba v aprilu 24, kWh: 447</t>
  </si>
  <si>
    <t>(če ni energy metra, podaj iz Moj elektro postavki 4. in 5.)</t>
  </si>
  <si>
    <t>4. Oddaja v omrežje aprila 24, kWh:</t>
  </si>
  <si>
    <t>5. Prevzem iz omrežja aprila 24, kWh:</t>
  </si>
  <si>
    <t>…</t>
  </si>
  <si>
    <t>6. Pridelek SE maj 24, kWh: 1234</t>
  </si>
  <si>
    <t>7. Vsa poraba v maju 24, kWh: 300 </t>
  </si>
  <si>
    <t>(če ni energy metra, podaj iz Moj elektro postavki 8. in 9.)</t>
  </si>
  <si>
    <t>8. Oddaja v omrežje maja 24, kWh:</t>
  </si>
  <si>
    <t>9. Prevzem iz omrežja maja 24, kWh:</t>
  </si>
  <si>
    <t>.....................................................</t>
  </si>
  <si>
    <t>Celje 3.6.2024 sporočil:</t>
  </si>
  <si>
    <t>april:</t>
  </si>
  <si>
    <t>pridelava: 2.1 Mwh</t>
  </si>
  <si>
    <t>poraba: 1.7 Mwh</t>
  </si>
  <si>
    <t>maj:</t>
  </si>
  <si>
    <t>pridelava: 2.05 Mwh</t>
  </si>
  <si>
    <t>poraba: 1 Mwh</t>
  </si>
  <si>
    <t>xavi 4.6.2024 sporočil:</t>
  </si>
  <si>
    <t>Moč elektrarne:9,02 kw                </t>
  </si>
  <si>
    <t>April 2024                                                                                    Maj 2024</t>
  </si>
  <si>
    <t>April 2024                                   Maj 2024</t>
  </si>
  <si>
    <t>proizvodnja:      1330                   1320</t>
  </si>
  <si>
    <t>prejeta energ.     336                     216</t>
  </si>
  <si>
    <t>oddana energ:  1052                    1118</t>
  </si>
  <si>
    <t>Poraba:                614                   418</t>
  </si>
  <si>
    <t>kw/p:                  147,45               146,36</t>
  </si>
  <si>
    <t>slepec 5.6.2024 sporočil:</t>
  </si>
  <si>
    <t>Apríl </t>
  </si>
  <si>
    <t>1,92mwh</t>
  </si>
  <si>
    <t>980kwh poraba</t>
  </si>
  <si>
    <t>Maj</t>
  </si>
  <si>
    <t>1.85mwh</t>
  </si>
  <si>
    <t>1.03mwh poraba</t>
  </si>
  <si>
    <t>Mr_Fizl 5.6.2024 sporočil:</t>
  </si>
  <si>
    <t>Moč elektrarne:14,56 kw                </t>
  </si>
  <si>
    <t>proizvodnja:      1850                                                                         1910</t>
  </si>
  <si>
    <t>prejeta energ.    362                                                                           344</t>
  </si>
  <si>
    <t>oddana energ:   1430                                                                         1480</t>
  </si>
  <si>
    <t>Poraba:             787                                                                          776</t>
  </si>
  <si>
    <t>kw/p:                127                                                                         131</t>
  </si>
  <si>
    <t>Fantocci2 5.6.2024 sporočil:</t>
  </si>
  <si>
    <t>Stanje April 24:</t>
  </si>
  <si>
    <t>- proizvodnja je bila 1310 kWh</t>
  </si>
  <si>
    <t>- oddano 1118 kWh</t>
  </si>
  <si>
    <t>- prejeto 248 kWh</t>
  </si>
  <si>
    <t>Stanje Maj 24:</t>
  </si>
  <si>
    <t>- proizvodnja je bila 1250 kWh</t>
  </si>
  <si>
    <t>- oddano 1036 kWh</t>
  </si>
  <si>
    <t>- prejeto 214 kWh</t>
  </si>
  <si>
    <t>vip58 je 6.6.2024 sporočil:</t>
  </si>
  <si>
    <t>1. Ime:vip58</t>
  </si>
  <si>
    <t>2. Pridelek SE april 24, kWh: 1630</t>
  </si>
  <si>
    <t>3. Vsa poraba v aprilu 24, kWh: 666</t>
  </si>
  <si>
    <t>energy meter</t>
  </si>
  <si>
    <t>4. Oddaja v omrežje aprila 24, kWh:1310</t>
  </si>
  <si>
    <t>5. Prevzem iz omrežja aprila 24, kWh:353</t>
  </si>
  <si>
    <t>6. Pridelek SE maj 24, kWh: 1560</t>
  </si>
  <si>
    <t>7. Vsa poraba v maju 24, kWh: 417</t>
  </si>
  <si>
    <t>8. Oddaja v omrežje maja 24, kWh:1330</t>
  </si>
  <si>
    <t>9. Prevzem iz omrežja maja 24, kWh:193</t>
  </si>
  <si>
    <t>shock</t>
  </si>
  <si>
    <t>Koper</t>
  </si>
  <si>
    <t>DejanB sporočil 23.6.2024</t>
  </si>
  <si>
    <t>Lokacija: Ljubljana Barje (Imamo dosti megle)</t>
  </si>
  <si>
    <t>Azimut: 180°</t>
  </si>
  <si>
    <t>Naklon: 8°</t>
  </si>
  <si>
    <t>Paneli: 2760W(6x460W)</t>
  </si>
  <si>
    <t>Soglasje kW: 0kW (Priključna SE omejitev 600W)</t>
  </si>
  <si>
    <t>Export omejitev: ZeroExport oz. 0,15kW(150W)</t>
  </si>
  <si>
    <t>Priklop: 25.6.2023</t>
  </si>
  <si>
    <t>Opombe: Izmenično senčenje 4 panelov(Sosedov satelitski krožnik)</t>
  </si>
  <si>
    <t>Pridelek SE 2023: 1064kWh</t>
  </si>
  <si>
    <t>Oddaja v omrežje 2023: 26,4kWh</t>
  </si>
  <si>
    <t>Poraba hiše v 2023(Meritve od Maja 2023): 6937,3kWh</t>
  </si>
  <si>
    <t>Pridelek SE 2024: 956kWh</t>
  </si>
  <si>
    <t>Oddaja v omrežje 2024: 16,6kWh</t>
  </si>
  <si>
    <t>Poraba hiše v 2024: 6046,6kWh</t>
  </si>
  <si>
    <t>Marec 2024</t>
  </si>
  <si>
    <t>Pridelek S : 144,6kWh (Od tega oddano v omrežje 4,4kWh)</t>
  </si>
  <si>
    <t>Poraba hiše: 1043kWh</t>
  </si>
  <si>
    <t>Ogrevanje eloBLOCK: 338,6kWh</t>
  </si>
  <si>
    <t>Ogrevanje/Hlajenje AC: 88,2kWh</t>
  </si>
  <si>
    <t>Ogrevanje sanitarne vode: 148,61kWh</t>
  </si>
  <si>
    <t>Pridelek S : 246,9kWh (Od tega oddano v omrežje 4,8kWh)</t>
  </si>
  <si>
    <t>Poraba hiše: 911,6kWh</t>
  </si>
  <si>
    <t>Ogrevanje eloBLOCK: 250kWh</t>
  </si>
  <si>
    <t>Ogrevanje/Hlajenje AC: 47kWh</t>
  </si>
  <si>
    <t>Ogrevanje sanitarne vode: 141,7kWh</t>
  </si>
  <si>
    <t>Maj 2024</t>
  </si>
  <si>
    <t>Pridelek SE : 209,6kWh (Od tega oddano v omrežje 2,1kWh)</t>
  </si>
  <si>
    <t>Poraba hiše : 660,1kWh</t>
  </si>
  <si>
    <t>Ogrevanje eloBLOCK: 35,6kWh</t>
  </si>
  <si>
    <t>Ogrevanje/Hlajenje AC: 24,8kWh</t>
  </si>
  <si>
    <t>Ogrevanje sanitarne vode: 99,06kWh</t>
  </si>
  <si>
    <t>16.1.2024</t>
  </si>
  <si>
    <t>Pridelek SE : 4kWh (Od tega oddano v omrežje 0kWh)</t>
  </si>
  <si>
    <t>Poraba hiše : 50kWh</t>
  </si>
  <si>
    <t>17.1.2024</t>
  </si>
  <si>
    <t>Pridelek SE : 0,6kWh (Od tega oddano v omrežje 0kWh)</t>
  </si>
  <si>
    <t>Poraba hiše : 53,1kWh</t>
  </si>
  <si>
    <t>.....................................</t>
  </si>
  <si>
    <t>DejanB</t>
  </si>
  <si>
    <t>Ljubljana Barje</t>
  </si>
  <si>
    <t>Priklop 25.6.2023, ZeroExport
Izmenično senčenje 4 panelov (sosedov satelitski krožnik)</t>
  </si>
  <si>
    <t>27.6.2024</t>
  </si>
  <si>
    <t>Irmscher</t>
  </si>
  <si>
    <t>Ljubljana - okolica</t>
  </si>
  <si>
    <t>12.76 kW, 202
2.64 kW, 202</t>
  </si>
  <si>
    <t>35
9</t>
  </si>
  <si>
    <t>7.7.2024, Irmscher</t>
  </si>
  <si>
    <t>v začetku tedna priklopljena SE: 15.4 kWp (35x440W), LJ-okolica, soglasje 13,7</t>
  </si>
  <si>
    <t>29 x Tilt 35, Azimuth 202</t>
  </si>
  <si>
    <t>6 x Tilt 9 , Azimuth 202</t>
  </si>
  <si>
    <t>Leto 2024
kWh/kWp</t>
  </si>
  <si>
    <t>Pridelek SE
21.12.2024
kWh</t>
  </si>
  <si>
    <t>Relat. pridelek SE
21.12.2024
kWh/kWp</t>
  </si>
  <si>
    <t>Pridelek v najkrajšem dnevu leta 2024 (21.12.2024)</t>
  </si>
  <si>
    <t>bohinc</t>
  </si>
  <si>
    <t>marko71</t>
  </si>
  <si>
    <t>Priklop 19.9.2024. Dimnik senči panele.</t>
  </si>
  <si>
    <t>Bohinj</t>
  </si>
  <si>
    <t>52
48
12
16
25
16</t>
  </si>
  <si>
    <t>lokos</t>
  </si>
  <si>
    <t>Trebnje</t>
  </si>
  <si>
    <t>gt001</t>
  </si>
  <si>
    <t>Celje okolica</t>
  </si>
  <si>
    <t>2024 je prvo celo leto obratovanja SE.</t>
  </si>
  <si>
    <t>Priklop zadnji teden maja 2024. Pridelek od konca maja do 31.12.2024: 10769 kWh
Na strehi imamo tri dimnike, ki bodo v zimskem času metali senco na sončne panele.</t>
  </si>
  <si>
    <t>13.1.2025</t>
  </si>
  <si>
    <t>Kozina z okolico</t>
  </si>
  <si>
    <t>40
41</t>
  </si>
  <si>
    <t>Lentus</t>
  </si>
  <si>
    <t>9.79 kW, 191
2.67 kW, 101
0.89 kW, 101</t>
  </si>
  <si>
    <t>17
27
27-x ??</t>
  </si>
  <si>
    <t>Leto 2025
kWh/kWp</t>
  </si>
  <si>
    <t>Pridelek 2025, kWh</t>
  </si>
  <si>
    <t>okolica Murske Sobote</t>
  </si>
  <si>
    <t>Hibridna SE, zagon 25.2.2025.
Paneli: Trina Solar Vertex S 445W x 30 komadov (Tigo optimizatorji)
Hranilniki: 2 v skupni kapaciteti 20.5 kWh. Po novi shemi. N-Gen.</t>
  </si>
  <si>
    <t>Priklop 1.7.2024. Paneli 35x440W Jinko.
Od 1.7.-31.12.2024 je bilo 8.44 MWh (avgusta 7 dni blackout)</t>
  </si>
  <si>
    <t>zelo osenčeni paneli. Za leto 2025 15.9 kWp (za 2023, 12 kWp)</t>
  </si>
  <si>
    <t>Članek "več panelov": https://www.zurnal24.si/pod-streho/varcna-hisa/eles-to-ne-drzi-kdor-bo-to-storil-bo-letel-iz-ugodnega-sistema-442484?utm_source=chatgpt.com</t>
  </si>
  <si>
    <t>Podatki o SE so urejeni po vrsti, kot so v začetku prihajali.</t>
  </si>
  <si>
    <t>senčenje pozimi (sosed. hiša)
25.3.2025 popravljen azimut in naklon (prej SE1: 180 30, SE2: 90 30).
16.2.2026 povečanje moči z 8.54 kW na 10 kW. Dodani paneli v veji z
azimutom 203, moč povečana s 3.05 kW na 4.5 kW</t>
  </si>
  <si>
    <t>4.5 kW, 203
5.49 kW,  113</t>
  </si>
  <si>
    <t>6.5.2026</t>
  </si>
  <si>
    <t>SE_2023_forum_VER_33.xlsx</t>
  </si>
  <si>
    <t>Začetek delovanja (uradni) 3.6.2024. Pred tem SE proizvedla 742 kWh (86+586+70).
SE 10.56 kW + baterija. Možnost oddajne moči 13.6 kW.
30.4.2026:  popravek oz. k 1,76kW azimuta 100, naklona 48 pripišeš dodatnih 2.64kW . SE iz 10.56 pa je 13.2kW, 30 panelov.</t>
  </si>
  <si>
    <t>5.28 kW, 210
4.40 kW, 100
1.76 kW, 200
0.88 kW, 190
0.44 kW, 280
0.44 kW, 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</si>
</sst>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_ ;_ * \(#,##0.00\)\ _€_ ;_ * &quot;-&quot;??_)\ _€_ ;_ @_ "/>
    <numFmt numFmtId="164" formatCode="0.0000"/>
    <numFmt numFmtId="165" formatCode="0.0"/>
    <numFmt numFmtId="166" formatCode="0.000"/>
  </numFmts>
  <fonts count="24" x14ac:knownFonts="1">
    <font>
      <sz val="11"/>
      <color theme="1"/>
      <name val="Calibri"/>
      <family val="2"/>
      <scheme val="minor"/>
    </font>
    <font>
      <b/>
      <sz val="11"/>
      <color theme="1"/>
      <name val="Calibri"/>
      <family val="2"/>
      <scheme val="minor"/>
    </font>
    <font>
      <sz val="7"/>
      <color rgb="FF333333"/>
      <name val="Tahoma"/>
      <family val="2"/>
    </font>
    <font>
      <b/>
      <sz val="11"/>
      <color theme="1"/>
      <name val="Calibri"/>
      <family val="2"/>
    </font>
    <font>
      <b/>
      <sz val="18"/>
      <color theme="1"/>
      <name val="Calibri"/>
      <family val="2"/>
      <scheme val="minor"/>
    </font>
    <font>
      <b/>
      <sz val="11"/>
      <name val="Calibri"/>
      <family val="2"/>
      <scheme val="minor"/>
    </font>
    <font>
      <sz val="11"/>
      <name val="Calibri"/>
      <family val="2"/>
      <scheme val="minor"/>
    </font>
    <font>
      <b/>
      <sz val="14"/>
      <color theme="1"/>
      <name val="Calibri"/>
      <family val="2"/>
      <scheme val="minor"/>
    </font>
    <font>
      <sz val="11"/>
      <color rgb="FF333333"/>
      <name val="Calibri"/>
      <family val="2"/>
      <scheme val="minor"/>
    </font>
    <font>
      <sz val="12"/>
      <color theme="1"/>
      <name val="Calibri"/>
      <family val="2"/>
      <scheme val="minor"/>
    </font>
    <font>
      <sz val="11"/>
      <color rgb="FF333333"/>
      <name val="Tahoma"/>
      <family val="2"/>
    </font>
    <font>
      <i/>
      <sz val="7"/>
      <color rgb="FF333333"/>
      <name val="Tahoma"/>
      <family val="2"/>
    </font>
    <font>
      <b/>
      <sz val="12"/>
      <color theme="1"/>
      <name val="Calibri"/>
      <family val="2"/>
      <scheme val="minor"/>
    </font>
    <font>
      <b/>
      <sz val="16"/>
      <color theme="1"/>
      <name val="Calibri"/>
      <family val="2"/>
      <scheme val="minor"/>
    </font>
    <font>
      <b/>
      <sz val="7"/>
      <color rgb="FF333333"/>
      <name val="Tahoma"/>
      <family val="2"/>
    </font>
    <font>
      <u/>
      <sz val="7"/>
      <color rgb="FF333333"/>
      <name val="Tahoma"/>
      <family val="2"/>
    </font>
    <font>
      <b/>
      <u/>
      <sz val="7"/>
      <color rgb="FF333333"/>
      <name val="Tahoma"/>
      <family val="2"/>
    </font>
    <font>
      <sz val="11"/>
      <color theme="1"/>
      <name val="Calibri"/>
      <family val="2"/>
      <scheme val="minor"/>
    </font>
    <font>
      <sz val="10"/>
      <color rgb="FF333333"/>
      <name val="Tahoma"/>
      <family val="2"/>
    </font>
    <font>
      <b/>
      <sz val="14"/>
      <color rgb="FF333333"/>
      <name val="Tahoma"/>
      <family val="2"/>
    </font>
    <font>
      <sz val="12"/>
      <color rgb="FF333333"/>
      <name val="Tahoma"/>
      <family val="2"/>
    </font>
    <font>
      <b/>
      <sz val="12"/>
      <color rgb="FF333333"/>
      <name val="Tahoma"/>
      <family val="2"/>
    </font>
    <font>
      <b/>
      <sz val="11"/>
      <color rgb="FF333333"/>
      <name val="Tahoma"/>
      <family val="2"/>
    </font>
    <font>
      <sz val="10.5"/>
      <color rgb="FF333333"/>
      <name val="Tahoma"/>
      <family val="2"/>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1">
    <border>
      <left/>
      <right/>
      <top/>
      <bottom/>
      <diagonal/>
    </border>
  </borders>
  <cellStyleXfs count="2">
    <xf numFmtId="0" fontId="0" fillId="0" borderId="0"/>
    <xf numFmtId="43" fontId="17" fillId="0" borderId="0" applyFont="0" applyFill="0" applyBorder="0" applyAlignment="0" applyProtection="0"/>
  </cellStyleXfs>
  <cellXfs count="89">
    <xf numFmtId="0" fontId="0" fillId="0" borderId="0" xfId="0"/>
    <xf numFmtId="0" fontId="2" fillId="0" borderId="0" xfId="0" applyFont="1"/>
    <xf numFmtId="0" fontId="1" fillId="0" borderId="0" xfId="0" applyFont="1"/>
    <xf numFmtId="0" fontId="4" fillId="0" borderId="0" xfId="0" applyFont="1"/>
    <xf numFmtId="0" fontId="0" fillId="2" borderId="0" xfId="0" applyFill="1"/>
    <xf numFmtId="0" fontId="0" fillId="0" borderId="0" xfId="0" applyAlignment="1">
      <alignment vertical="center"/>
    </xf>
    <xf numFmtId="164" fontId="0" fillId="2" borderId="0" xfId="0" applyNumberFormat="1" applyFill="1" applyAlignment="1">
      <alignment horizontal="center"/>
    </xf>
    <xf numFmtId="0" fontId="0" fillId="0" borderId="0" xfId="0" applyAlignment="1">
      <alignment wrapText="1"/>
    </xf>
    <xf numFmtId="0" fontId="1" fillId="0" borderId="0" xfId="0" applyFont="1" applyAlignment="1">
      <alignment horizontal="center"/>
    </xf>
    <xf numFmtId="0" fontId="7" fillId="0" borderId="0" xfId="0" applyFont="1"/>
    <xf numFmtId="0" fontId="7" fillId="0" borderId="0" xfId="0" applyFont="1" applyAlignment="1">
      <alignment vertical="center"/>
    </xf>
    <xf numFmtId="0" fontId="6" fillId="2" borderId="0" xfId="0" applyFont="1" applyFill="1"/>
    <xf numFmtId="0" fontId="1" fillId="0" borderId="0" xfId="0" applyFont="1" applyAlignment="1">
      <alignment horizontal="center" wrapText="1"/>
    </xf>
    <xf numFmtId="0" fontId="9" fillId="0" borderId="0" xfId="0" applyFont="1"/>
    <xf numFmtId="1"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8"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wrapText="1"/>
    </xf>
    <xf numFmtId="0" fontId="11" fillId="0" borderId="0" xfId="0" applyFont="1"/>
    <xf numFmtId="0" fontId="0" fillId="0" borderId="0" xfId="0" applyFont="1" applyAlignment="1">
      <alignment horizontal="left" vertical="center" wrapText="1"/>
    </xf>
    <xf numFmtId="0" fontId="0" fillId="0" borderId="0" xfId="0" applyFont="1" applyAlignment="1">
      <alignment vertical="center"/>
    </xf>
    <xf numFmtId="165" fontId="0" fillId="0" borderId="0" xfId="0" applyNumberFormat="1" applyFont="1" applyAlignment="1">
      <alignment horizontal="center" vertical="center"/>
    </xf>
    <xf numFmtId="0" fontId="0" fillId="0" borderId="0" xfId="0" applyFont="1" applyAlignment="1">
      <alignment horizontal="center" vertical="center" wrapText="1"/>
    </xf>
    <xf numFmtId="1" fontId="8" fillId="0" borderId="0" xfId="0" applyNumberFormat="1" applyFont="1" applyAlignment="1">
      <alignment horizontal="center" vertical="center"/>
    </xf>
    <xf numFmtId="0" fontId="0" fillId="0" borderId="0" xfId="0" applyFont="1"/>
    <xf numFmtId="0" fontId="0" fillId="0" borderId="0" xfId="0" applyFont="1" applyAlignment="1">
      <alignment horizontal="center"/>
    </xf>
    <xf numFmtId="0" fontId="12" fillId="0" borderId="0" xfId="0" applyFont="1" applyAlignment="1">
      <alignment horizontal="center" vertical="center"/>
    </xf>
    <xf numFmtId="0" fontId="8" fillId="0" borderId="0" xfId="0" applyFont="1" applyAlignment="1">
      <alignment vertical="center"/>
    </xf>
    <xf numFmtId="166" fontId="0" fillId="0" borderId="0" xfId="0" applyNumberFormat="1" applyFont="1" applyAlignment="1">
      <alignment horizontal="center" vertical="center"/>
    </xf>
    <xf numFmtId="0" fontId="0" fillId="0" borderId="0" xfId="0" applyFont="1" applyAlignment="1">
      <alignment vertical="center" wrapText="1"/>
    </xf>
    <xf numFmtId="0" fontId="13" fillId="0" borderId="0" xfId="0" applyFont="1"/>
    <xf numFmtId="0" fontId="7" fillId="0" borderId="0" xfId="0" applyFont="1" applyAlignment="1">
      <alignment horizontal="left" vertical="center"/>
    </xf>
    <xf numFmtId="0" fontId="0" fillId="0" borderId="0" xfId="0" applyFont="1" applyAlignment="1">
      <alignment horizontal="left"/>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166" fontId="0" fillId="0" borderId="0" xfId="0" applyNumberFormat="1" applyAlignment="1">
      <alignment horizontal="center" vertical="center"/>
    </xf>
    <xf numFmtId="0" fontId="0" fillId="0" borderId="0" xfId="0" applyAlignment="1">
      <alignment horizontal="center" vertical="center" wrapText="1"/>
    </xf>
    <xf numFmtId="0" fontId="1" fillId="2" borderId="0" xfId="0" applyFont="1" applyFill="1"/>
    <xf numFmtId="0" fontId="14" fillId="0" borderId="0" xfId="0" applyFont="1"/>
    <xf numFmtId="2" fontId="0" fillId="0" borderId="0" xfId="0" applyNumberFormat="1" applyFont="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0" fontId="1" fillId="2" borderId="0" xfId="0" applyFont="1" applyFill="1" applyAlignment="1">
      <alignment horizontal="center" vertical="center" wrapText="1"/>
    </xf>
    <xf numFmtId="0" fontId="7" fillId="0" borderId="0" xfId="1" applyNumberFormat="1" applyFont="1"/>
    <xf numFmtId="0" fontId="1" fillId="0" borderId="0" xfId="1" applyNumberFormat="1" applyFont="1"/>
    <xf numFmtId="0" fontId="1" fillId="0" borderId="0" xfId="1" applyNumberFormat="1" applyFont="1" applyAlignment="1">
      <alignment horizontal="center" wrapText="1"/>
    </xf>
    <xf numFmtId="0" fontId="7" fillId="0" borderId="0" xfId="1" applyNumberFormat="1" applyFont="1" applyAlignment="1">
      <alignment horizontal="left" vertical="center"/>
    </xf>
    <xf numFmtId="0" fontId="0" fillId="0" borderId="0" xfId="1" applyNumberFormat="1" applyFont="1" applyAlignment="1">
      <alignment horizontal="left" vertical="center"/>
    </xf>
    <xf numFmtId="0" fontId="0" fillId="0" borderId="0" xfId="1" applyNumberFormat="1" applyFont="1" applyAlignment="1">
      <alignment horizontal="center" vertical="center"/>
    </xf>
    <xf numFmtId="0" fontId="0" fillId="0" borderId="0" xfId="1" applyNumberFormat="1" applyFont="1"/>
    <xf numFmtId="2" fontId="0" fillId="0" borderId="0" xfId="1" applyNumberFormat="1" applyFont="1" applyAlignment="1">
      <alignment horizontal="center" vertical="center"/>
    </xf>
    <xf numFmtId="2" fontId="0" fillId="0" borderId="0" xfId="0" applyNumberFormat="1" applyAlignment="1">
      <alignment horizontal="center" vertical="center"/>
    </xf>
    <xf numFmtId="0" fontId="7" fillId="2" borderId="0" xfId="0" applyFont="1" applyFill="1" applyAlignment="1">
      <alignment vertical="center"/>
    </xf>
    <xf numFmtId="0" fontId="0" fillId="2" borderId="0" xfId="0" applyFont="1" applyFill="1" applyAlignment="1">
      <alignment horizontal="left" vertical="center"/>
    </xf>
    <xf numFmtId="0" fontId="0" fillId="2" borderId="0" xfId="0" applyFont="1" applyFill="1" applyAlignment="1">
      <alignment horizontal="center" vertical="center"/>
    </xf>
    <xf numFmtId="166" fontId="0" fillId="2" borderId="0" xfId="0" applyNumberFormat="1" applyFont="1" applyFill="1" applyAlignment="1">
      <alignment horizontal="center" vertical="center"/>
    </xf>
    <xf numFmtId="1" fontId="0" fillId="2" borderId="0" xfId="0" applyNumberFormat="1" applyFont="1" applyFill="1" applyAlignment="1">
      <alignment horizontal="center" vertical="center"/>
    </xf>
    <xf numFmtId="0" fontId="2" fillId="2" borderId="0" xfId="0" applyFont="1" applyFill="1"/>
    <xf numFmtId="17" fontId="2" fillId="0" borderId="0" xfId="0" quotePrefix="1" applyNumberFormat="1" applyFont="1"/>
    <xf numFmtId="0" fontId="18" fillId="0" borderId="0" xfId="0" applyFont="1"/>
    <xf numFmtId="0" fontId="0" fillId="0" borderId="0" xfId="0" applyFill="1"/>
    <xf numFmtId="0" fontId="0" fillId="0" borderId="0" xfId="0" applyFont="1" applyFill="1" applyAlignment="1">
      <alignment horizontal="left" vertical="center"/>
    </xf>
    <xf numFmtId="0" fontId="0" fillId="0" borderId="0" xfId="0" applyFont="1" applyFill="1" applyAlignment="1">
      <alignment horizontal="center" vertical="center"/>
    </xf>
    <xf numFmtId="166" fontId="0" fillId="0" borderId="0" xfId="0" applyNumberFormat="1" applyFont="1" applyFill="1" applyAlignment="1">
      <alignment horizontal="center" vertical="center"/>
    </xf>
    <xf numFmtId="0" fontId="2" fillId="0" borderId="0" xfId="0" applyFont="1" applyFill="1"/>
    <xf numFmtId="0" fontId="0" fillId="2" borderId="0" xfId="0" applyFont="1" applyFill="1"/>
    <xf numFmtId="0" fontId="14" fillId="2" borderId="0" xfId="0" applyFont="1" applyFill="1"/>
    <xf numFmtId="1" fontId="0" fillId="0" borderId="0" xfId="0" applyNumberFormat="1"/>
    <xf numFmtId="165" fontId="0" fillId="0" borderId="0" xfId="0" applyNumberFormat="1" applyAlignment="1">
      <alignment horizontal="center" vertical="center"/>
    </xf>
    <xf numFmtId="0" fontId="19" fillId="0" borderId="0" xfId="0" applyFont="1"/>
    <xf numFmtId="0" fontId="20" fillId="0" borderId="0" xfId="0" applyFont="1"/>
    <xf numFmtId="0" fontId="1" fillId="0" borderId="0" xfId="0" applyFont="1" applyFill="1"/>
    <xf numFmtId="0" fontId="0" fillId="0" borderId="0" xfId="0" applyFont="1" applyFill="1"/>
    <xf numFmtId="0" fontId="7" fillId="0" borderId="0" xfId="0" applyFont="1" applyFill="1" applyAlignment="1">
      <alignment horizontal="left" vertical="center"/>
    </xf>
    <xf numFmtId="0" fontId="1" fillId="2" borderId="0" xfId="0" applyFont="1" applyFill="1" applyAlignment="1">
      <alignment horizontal="center" wrapText="1"/>
    </xf>
    <xf numFmtId="0" fontId="0" fillId="0" borderId="0" xfId="0" applyNumberFormat="1" applyFont="1" applyAlignment="1">
      <alignment horizontal="center" vertical="center"/>
    </xf>
    <xf numFmtId="0" fontId="22" fillId="0" borderId="0" xfId="0" applyFont="1"/>
    <xf numFmtId="0" fontId="23" fillId="0" borderId="0" xfId="0" applyFont="1" applyAlignment="1">
      <alignment vertical="center"/>
    </xf>
    <xf numFmtId="0" fontId="23" fillId="3" borderId="0" xfId="0" applyFont="1" applyFill="1" applyAlignment="1">
      <alignment vertical="center"/>
    </xf>
    <xf numFmtId="17" fontId="14" fillId="0" borderId="0" xfId="0" applyNumberFormat="1" applyFont="1"/>
    <xf numFmtId="165" fontId="0" fillId="0" borderId="0" xfId="0" applyNumberFormat="1" applyAlignment="1">
      <alignment horizontal="center"/>
    </xf>
    <xf numFmtId="0" fontId="1" fillId="0" borderId="0" xfId="0" applyFont="1" applyFill="1" applyAlignment="1">
      <alignment horizontal="center" vertical="center" wrapText="1"/>
    </xf>
    <xf numFmtId="2" fontId="0" fillId="0" borderId="0" xfId="0" applyNumberFormat="1" applyAlignment="1">
      <alignment horizontal="center"/>
    </xf>
    <xf numFmtId="0" fontId="0" fillId="0" borderId="0" xfId="0" applyAlignment="1">
      <alignment horizontal="center"/>
    </xf>
    <xf numFmtId="0" fontId="6" fillId="0" borderId="0" xfId="0" applyFont="1" applyFill="1"/>
    <xf numFmtId="1" fontId="1" fillId="0" borderId="0" xfId="0" applyNumberFormat="1"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344</xdr:row>
      <xdr:rowOff>0</xdr:rowOff>
    </xdr:from>
    <xdr:to>
      <xdr:col>15</xdr:col>
      <xdr:colOff>203200</xdr:colOff>
      <xdr:row>345</xdr:row>
      <xdr:rowOff>19050</xdr:rowOff>
    </xdr:to>
    <xdr:pic>
      <xdr:nvPicPr>
        <xdr:cNvPr id="2" name="Picture 1" descr="[Slika: smile.png]">
          <a:extLst>
            <a:ext uri="{FF2B5EF4-FFF2-40B4-BE49-F238E27FC236}">
              <a16:creationId xmlns:a16="http://schemas.microsoft.com/office/drawing/2014/main" id="{2FA738F2-DE3B-4DA4-B1C9-7F11FE202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70580250"/>
          <a:ext cx="2032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BFF0-474D-4960-80C3-A90735B13457}">
  <dimension ref="A1:P407"/>
  <sheetViews>
    <sheetView tabSelected="1" workbookViewId="0">
      <selection activeCell="B2" sqref="B2"/>
    </sheetView>
  </sheetViews>
  <sheetFormatPr defaultRowHeight="14.5" x14ac:dyDescent="0.35"/>
  <cols>
    <col min="1" max="1" width="4.26953125" customWidth="1"/>
    <col min="2" max="2" width="13.453125" customWidth="1"/>
    <col min="3" max="3" width="20.453125" customWidth="1"/>
    <col min="4" max="4" width="17.1796875" customWidth="1"/>
    <col min="5" max="5" width="12.6328125" customWidth="1"/>
    <col min="6" max="6" width="10.54296875" customWidth="1"/>
    <col min="7" max="7" width="10.36328125" customWidth="1"/>
    <col min="8" max="8" width="10.08984375" customWidth="1"/>
    <col min="9" max="9" width="11.54296875" customWidth="1"/>
    <col min="10" max="10" width="14.90625" customWidth="1"/>
    <col min="12" max="12" width="12" customWidth="1"/>
    <col min="13" max="13" width="18.54296875" customWidth="1"/>
    <col min="14" max="14" width="72.1796875" customWidth="1"/>
    <col min="15" max="15" width="3.08984375" style="4" customWidth="1"/>
  </cols>
  <sheetData>
    <row r="1" spans="1:16" ht="23.5" x14ac:dyDescent="0.55000000000000004">
      <c r="B1" s="3" t="s">
        <v>1116</v>
      </c>
      <c r="G1" s="11" t="s">
        <v>119</v>
      </c>
      <c r="H1" s="11"/>
      <c r="I1" s="11"/>
      <c r="J1" s="11"/>
      <c r="K1" s="11"/>
      <c r="L1" s="11"/>
      <c r="M1" s="11"/>
      <c r="N1" s="11"/>
      <c r="O1" s="11"/>
      <c r="P1" s="87"/>
    </row>
    <row r="2" spans="1:16" x14ac:dyDescent="0.35">
      <c r="B2" t="s">
        <v>1115</v>
      </c>
      <c r="C2" s="4" t="s">
        <v>1112</v>
      </c>
      <c r="D2" s="4"/>
      <c r="E2" s="4"/>
      <c r="F2" s="63"/>
      <c r="G2" s="63"/>
      <c r="H2" s="63"/>
      <c r="I2" s="63"/>
      <c r="J2" t="s">
        <v>672</v>
      </c>
      <c r="P2" t="s">
        <v>1111</v>
      </c>
    </row>
    <row r="3" spans="1:16" ht="30" x14ac:dyDescent="0.45">
      <c r="B3" s="9" t="s">
        <v>37</v>
      </c>
      <c r="C3" s="2" t="s">
        <v>38</v>
      </c>
      <c r="D3" s="2" t="s">
        <v>1106</v>
      </c>
      <c r="E3" s="12" t="s">
        <v>1105</v>
      </c>
      <c r="F3" s="12" t="s">
        <v>1084</v>
      </c>
      <c r="G3" s="12" t="s">
        <v>120</v>
      </c>
      <c r="H3" s="12" t="s">
        <v>121</v>
      </c>
      <c r="I3" s="8" t="s">
        <v>40</v>
      </c>
      <c r="J3" s="8" t="s">
        <v>41</v>
      </c>
      <c r="K3" s="8" t="s">
        <v>45</v>
      </c>
      <c r="L3" s="8" t="s">
        <v>42</v>
      </c>
      <c r="M3" s="8" t="s">
        <v>43</v>
      </c>
      <c r="N3" s="2" t="s">
        <v>44</v>
      </c>
      <c r="P3" s="1" t="s">
        <v>0</v>
      </c>
    </row>
    <row r="4" spans="1:16" ht="18.5" x14ac:dyDescent="0.35">
      <c r="A4" s="28">
        <v>1</v>
      </c>
      <c r="B4" s="10" t="s">
        <v>7</v>
      </c>
      <c r="C4" s="22" t="s">
        <v>55</v>
      </c>
      <c r="D4" s="15">
        <v>10140</v>
      </c>
      <c r="E4" s="14">
        <f>D4/I4</f>
        <v>1003.960396039604</v>
      </c>
      <c r="F4" s="14">
        <v>1045.5445544554457</v>
      </c>
      <c r="G4" s="14">
        <f>10979/I4</f>
        <v>1087.029702970297</v>
      </c>
      <c r="H4" s="14"/>
      <c r="I4" s="24">
        <v>10.1</v>
      </c>
      <c r="J4" s="15">
        <v>160</v>
      </c>
      <c r="K4" s="15">
        <v>21</v>
      </c>
      <c r="L4" s="15">
        <v>10.1</v>
      </c>
      <c r="M4" s="15">
        <v>9.6999999999999993</v>
      </c>
      <c r="N4" t="s">
        <v>8</v>
      </c>
      <c r="O4" s="6"/>
      <c r="P4" s="1" t="s">
        <v>1</v>
      </c>
    </row>
    <row r="5" spans="1:16" ht="18.5" x14ac:dyDescent="0.35">
      <c r="A5" s="28">
        <v>2</v>
      </c>
      <c r="B5" s="10" t="s">
        <v>17</v>
      </c>
      <c r="C5" s="22" t="s">
        <v>56</v>
      </c>
      <c r="D5" s="15"/>
      <c r="E5" s="14">
        <f t="shared" ref="E5:E49" si="0">D5/I5</f>
        <v>0</v>
      </c>
      <c r="F5" s="14">
        <v>1310.9939759036145</v>
      </c>
      <c r="G5" s="14">
        <f>14570/I5</f>
        <v>1097.1385542168675</v>
      </c>
      <c r="H5" s="14"/>
      <c r="I5" s="15">
        <v>13.28</v>
      </c>
      <c r="J5" s="15">
        <v>170</v>
      </c>
      <c r="K5" s="15">
        <v>40</v>
      </c>
      <c r="L5" s="15">
        <v>13.6</v>
      </c>
      <c r="M5" s="15"/>
      <c r="N5" t="s">
        <v>18</v>
      </c>
      <c r="O5" s="6"/>
      <c r="P5" s="1" t="s">
        <v>2</v>
      </c>
    </row>
    <row r="6" spans="1:16" ht="43.5" x14ac:dyDescent="0.35">
      <c r="A6" s="28">
        <v>3</v>
      </c>
      <c r="B6" s="10" t="s">
        <v>26</v>
      </c>
      <c r="C6" s="22" t="s">
        <v>27</v>
      </c>
      <c r="D6" s="15"/>
      <c r="E6" s="14">
        <f t="shared" si="0"/>
        <v>0</v>
      </c>
      <c r="F6" s="14">
        <v>1352.5498891352549</v>
      </c>
      <c r="G6" s="14">
        <f>11940/I6</f>
        <v>1323.7250554323725</v>
      </c>
      <c r="H6" s="14"/>
      <c r="I6" s="15">
        <v>9.02</v>
      </c>
      <c r="J6" s="15">
        <v>150.5</v>
      </c>
      <c r="K6" s="15">
        <v>42</v>
      </c>
      <c r="L6" s="15">
        <v>10.25</v>
      </c>
      <c r="M6" s="15"/>
      <c r="N6" s="7" t="s">
        <v>88</v>
      </c>
      <c r="O6" s="6"/>
      <c r="P6" s="1" t="s">
        <v>3</v>
      </c>
    </row>
    <row r="7" spans="1:16" ht="18.5" x14ac:dyDescent="0.35">
      <c r="A7" s="28">
        <v>4</v>
      </c>
      <c r="B7" s="10" t="s">
        <v>35</v>
      </c>
      <c r="C7" s="22" t="s">
        <v>57</v>
      </c>
      <c r="D7" s="15">
        <v>16800</v>
      </c>
      <c r="E7" s="14">
        <f t="shared" si="0"/>
        <v>1241.6851441241686</v>
      </c>
      <c r="F7" s="14">
        <v>1282.3355506282337</v>
      </c>
      <c r="G7" s="14">
        <f>6750/I7</f>
        <v>498.89135254988918</v>
      </c>
      <c r="H7" s="14"/>
      <c r="I7" s="15">
        <v>13.53</v>
      </c>
      <c r="J7" s="15">
        <v>155</v>
      </c>
      <c r="K7" s="15">
        <v>35</v>
      </c>
      <c r="L7" s="15">
        <v>13.6</v>
      </c>
      <c r="M7" s="15">
        <v>13.5</v>
      </c>
      <c r="N7" t="s">
        <v>36</v>
      </c>
      <c r="O7" s="6"/>
      <c r="P7" s="1" t="s">
        <v>4</v>
      </c>
    </row>
    <row r="8" spans="1:16" ht="29" x14ac:dyDescent="0.35">
      <c r="A8" s="28">
        <v>5</v>
      </c>
      <c r="B8" s="10" t="s">
        <v>53</v>
      </c>
      <c r="C8" s="22" t="s">
        <v>54</v>
      </c>
      <c r="D8" s="15">
        <v>14110</v>
      </c>
      <c r="E8" s="14">
        <f t="shared" si="0"/>
        <v>1045.1851851851852</v>
      </c>
      <c r="F8" s="14">
        <f>13251/I8</f>
        <v>981.55555555555554</v>
      </c>
      <c r="G8" s="14">
        <f>14127/I8</f>
        <v>1046.4444444444443</v>
      </c>
      <c r="H8" s="14">
        <f>15394/I8</f>
        <v>1140.2962962962963</v>
      </c>
      <c r="I8" s="15">
        <v>13.5</v>
      </c>
      <c r="J8" s="15">
        <v>249</v>
      </c>
      <c r="K8" s="15">
        <v>38</v>
      </c>
      <c r="L8" s="15">
        <v>13.5</v>
      </c>
      <c r="M8" s="15">
        <v>13.4</v>
      </c>
      <c r="N8" s="7" t="s">
        <v>58</v>
      </c>
      <c r="O8" s="6"/>
      <c r="P8" s="1" t="s">
        <v>5</v>
      </c>
    </row>
    <row r="9" spans="1:16" ht="18.5" x14ac:dyDescent="0.35">
      <c r="A9" s="28">
        <v>6</v>
      </c>
      <c r="B9" s="10" t="s">
        <v>70</v>
      </c>
      <c r="C9" s="22" t="s">
        <v>71</v>
      </c>
      <c r="D9" s="15"/>
      <c r="E9" s="14">
        <f t="shared" si="0"/>
        <v>0</v>
      </c>
      <c r="F9" s="14">
        <v>1010.4166666666667</v>
      </c>
      <c r="G9" s="14">
        <f>9830/I9</f>
        <v>1023.9583333333334</v>
      </c>
      <c r="H9" s="14">
        <f>10923/I9</f>
        <v>1137.8125</v>
      </c>
      <c r="I9" s="15">
        <v>9.6</v>
      </c>
      <c r="J9" s="15">
        <v>240</v>
      </c>
      <c r="K9" s="15">
        <v>30</v>
      </c>
      <c r="L9" s="15">
        <v>9.6</v>
      </c>
      <c r="M9" s="15">
        <v>9.6</v>
      </c>
      <c r="N9" t="s">
        <v>87</v>
      </c>
      <c r="O9" s="6"/>
      <c r="P9" s="1" t="s">
        <v>6</v>
      </c>
    </row>
    <row r="10" spans="1:16" ht="43.5" x14ac:dyDescent="0.35">
      <c r="A10" s="28">
        <v>7</v>
      </c>
      <c r="B10" s="10" t="s">
        <v>329</v>
      </c>
      <c r="C10" s="22" t="s">
        <v>85</v>
      </c>
      <c r="D10" s="15"/>
      <c r="E10" s="14">
        <f t="shared" si="0"/>
        <v>0</v>
      </c>
      <c r="F10" s="14"/>
      <c r="G10" s="14">
        <f>13700/I10</f>
        <v>1053.8461538461538</v>
      </c>
      <c r="H10" s="14"/>
      <c r="I10" s="15">
        <v>13</v>
      </c>
      <c r="J10" s="15">
        <v>245</v>
      </c>
      <c r="K10" s="15">
        <v>30</v>
      </c>
      <c r="L10" s="15">
        <v>11</v>
      </c>
      <c r="M10" s="15">
        <v>10.9</v>
      </c>
      <c r="N10" s="7" t="s">
        <v>86</v>
      </c>
      <c r="O10" s="6"/>
    </row>
    <row r="11" spans="1:16" ht="29" x14ac:dyDescent="0.35">
      <c r="A11" s="28">
        <v>8</v>
      </c>
      <c r="B11" s="10" t="s">
        <v>331</v>
      </c>
      <c r="C11" s="22" t="s">
        <v>97</v>
      </c>
      <c r="D11" s="15">
        <v>11200</v>
      </c>
      <c r="E11" s="14">
        <f t="shared" si="0"/>
        <v>1148.7179487179487</v>
      </c>
      <c r="F11" s="14">
        <v>1106.6666666666667</v>
      </c>
      <c r="G11" s="14">
        <f>10700/I11</f>
        <v>1097.4358974358975</v>
      </c>
      <c r="H11" s="14"/>
      <c r="I11" s="15">
        <f>3.75+6</f>
        <v>9.75</v>
      </c>
      <c r="J11" s="24" t="s">
        <v>98</v>
      </c>
      <c r="K11" s="24" t="s">
        <v>99</v>
      </c>
      <c r="L11" s="15">
        <v>11.2</v>
      </c>
      <c r="M11" s="15">
        <v>11</v>
      </c>
      <c r="N11" s="5" t="s">
        <v>100</v>
      </c>
      <c r="O11" s="6"/>
      <c r="P11" s="1" t="s">
        <v>9</v>
      </c>
    </row>
    <row r="12" spans="1:16" ht="18.5" x14ac:dyDescent="0.35">
      <c r="A12" s="28">
        <v>9</v>
      </c>
      <c r="B12" s="10" t="s">
        <v>108</v>
      </c>
      <c r="C12" s="22" t="s">
        <v>109</v>
      </c>
      <c r="D12" s="15"/>
      <c r="E12" s="14">
        <f t="shared" si="0"/>
        <v>0</v>
      </c>
      <c r="F12" s="14"/>
      <c r="G12" s="14">
        <f>12983/I12</f>
        <v>1129.9390774586598</v>
      </c>
      <c r="H12" s="14"/>
      <c r="I12" s="15">
        <v>11.49</v>
      </c>
      <c r="J12" s="15">
        <v>225</v>
      </c>
      <c r="K12" s="15">
        <v>35</v>
      </c>
      <c r="L12" s="23">
        <v>10</v>
      </c>
      <c r="M12" s="15">
        <v>9.99</v>
      </c>
      <c r="N12" t="s">
        <v>110</v>
      </c>
      <c r="O12" s="6"/>
      <c r="P12" s="1" t="s">
        <v>10</v>
      </c>
    </row>
    <row r="13" spans="1:16" ht="18.5" x14ac:dyDescent="0.35">
      <c r="A13" s="28">
        <v>10</v>
      </c>
      <c r="B13" s="10" t="s">
        <v>117</v>
      </c>
      <c r="C13" s="22" t="s">
        <v>118</v>
      </c>
      <c r="D13" s="15">
        <v>14480</v>
      </c>
      <c r="E13" s="14">
        <f t="shared" si="0"/>
        <v>1087.087087087087</v>
      </c>
      <c r="F13" s="14">
        <f>15130/I13</f>
        <v>1135.885885885886</v>
      </c>
      <c r="G13" s="14">
        <f>15090/I13</f>
        <v>1132.8828828828828</v>
      </c>
      <c r="H13" s="14"/>
      <c r="I13" s="15">
        <v>13.32</v>
      </c>
      <c r="J13" s="15">
        <v>132</v>
      </c>
      <c r="K13" s="15">
        <v>30</v>
      </c>
      <c r="L13" s="15">
        <v>13.6</v>
      </c>
      <c r="M13" s="15">
        <v>13.4</v>
      </c>
      <c r="O13" s="6"/>
      <c r="P13" s="1" t="s">
        <v>11</v>
      </c>
    </row>
    <row r="14" spans="1:16" ht="18.5" x14ac:dyDescent="0.35">
      <c r="A14" s="28">
        <v>11</v>
      </c>
      <c r="B14" s="10" t="s">
        <v>136</v>
      </c>
      <c r="C14" s="22" t="s">
        <v>137</v>
      </c>
      <c r="D14" s="15"/>
      <c r="E14" s="14">
        <f t="shared" si="0"/>
        <v>0</v>
      </c>
      <c r="F14" s="14"/>
      <c r="G14" s="14">
        <f>10800/I14</f>
        <v>968.60986547085201</v>
      </c>
      <c r="H14" s="14">
        <f>12300/I14</f>
        <v>1103.1390134529147</v>
      </c>
      <c r="I14" s="15">
        <v>11.15</v>
      </c>
      <c r="J14" s="15">
        <v>110</v>
      </c>
      <c r="K14" s="15">
        <v>30</v>
      </c>
      <c r="L14" s="17">
        <v>11.2</v>
      </c>
      <c r="M14" s="15">
        <v>11.11</v>
      </c>
      <c r="N14" s="5" t="s">
        <v>640</v>
      </c>
      <c r="P14" s="1" t="s">
        <v>13</v>
      </c>
    </row>
    <row r="15" spans="1:16" ht="18.5" x14ac:dyDescent="0.35">
      <c r="A15" s="28">
        <v>12</v>
      </c>
      <c r="B15" s="10" t="s">
        <v>142</v>
      </c>
      <c r="C15" s="16" t="s">
        <v>143</v>
      </c>
      <c r="D15" s="15">
        <v>18300</v>
      </c>
      <c r="E15" s="14">
        <f t="shared" si="0"/>
        <v>1150.943396226415</v>
      </c>
      <c r="F15" s="14"/>
      <c r="G15" s="14">
        <f>14350/12</f>
        <v>1195.8333333333333</v>
      </c>
      <c r="H15" s="15"/>
      <c r="I15" s="15">
        <v>15.9</v>
      </c>
      <c r="J15" s="18">
        <v>180</v>
      </c>
      <c r="K15" s="15">
        <v>41</v>
      </c>
      <c r="L15" s="17"/>
      <c r="M15" s="15">
        <v>10.8</v>
      </c>
      <c r="N15" s="16" t="s">
        <v>1110</v>
      </c>
      <c r="P15" s="1" t="s">
        <v>14</v>
      </c>
    </row>
    <row r="16" spans="1:16" ht="67" customHeight="1" x14ac:dyDescent="0.35">
      <c r="A16" s="28">
        <v>13</v>
      </c>
      <c r="B16" s="10" t="s">
        <v>123</v>
      </c>
      <c r="C16" s="22" t="s">
        <v>151</v>
      </c>
      <c r="D16" s="15">
        <v>8790</v>
      </c>
      <c r="E16" s="88">
        <f>8790/8.54</f>
        <v>1029.2740046838408</v>
      </c>
      <c r="F16" s="14">
        <v>1036.2997658079626</v>
      </c>
      <c r="G16" s="14">
        <f>8850/8.54</f>
        <v>1036.2997658079626</v>
      </c>
      <c r="H16" s="14">
        <f>9900/8.54</f>
        <v>1159.2505854800938</v>
      </c>
      <c r="I16" s="15">
        <f>4.5+5.49</f>
        <v>9.99</v>
      </c>
      <c r="J16" s="24" t="s">
        <v>1114</v>
      </c>
      <c r="K16" s="24" t="s">
        <v>1101</v>
      </c>
      <c r="L16" s="15">
        <v>11</v>
      </c>
      <c r="M16" s="15"/>
      <c r="N16" s="19" t="s">
        <v>1113</v>
      </c>
      <c r="P16" s="1" t="s">
        <v>12</v>
      </c>
    </row>
    <row r="17" spans="1:16" ht="72" customHeight="1" x14ac:dyDescent="0.35">
      <c r="A17" s="28">
        <v>14</v>
      </c>
      <c r="B17" s="10" t="s">
        <v>152</v>
      </c>
      <c r="C17" s="16" t="s">
        <v>159</v>
      </c>
      <c r="D17" s="15">
        <v>15250</v>
      </c>
      <c r="E17" s="14">
        <f t="shared" si="0"/>
        <v>1279.3624161073826</v>
      </c>
      <c r="F17" s="14">
        <v>1235.7382550335572</v>
      </c>
      <c r="G17" s="14">
        <f>14320/I17</f>
        <v>1201.3422818791946</v>
      </c>
      <c r="H17" s="17"/>
      <c r="I17" s="15">
        <f>9.33+2.59</f>
        <v>11.92</v>
      </c>
      <c r="J17" s="24" t="s">
        <v>161</v>
      </c>
      <c r="K17" s="24" t="s">
        <v>160</v>
      </c>
      <c r="L17" s="17">
        <v>11.1</v>
      </c>
      <c r="M17" s="15">
        <v>10.8</v>
      </c>
      <c r="N17" s="16" t="s">
        <v>158</v>
      </c>
      <c r="P17" s="1" t="s">
        <v>16</v>
      </c>
    </row>
    <row r="18" spans="1:16" ht="29" x14ac:dyDescent="0.35">
      <c r="A18" s="28">
        <v>15</v>
      </c>
      <c r="B18" s="10" t="s">
        <v>169</v>
      </c>
      <c r="C18" s="16" t="s">
        <v>170</v>
      </c>
      <c r="D18" s="15">
        <v>13922</v>
      </c>
      <c r="E18" s="14">
        <f t="shared" si="0"/>
        <v>1133.2519332519332</v>
      </c>
      <c r="F18" s="14">
        <v>1142.8571428571429</v>
      </c>
      <c r="G18" s="14">
        <f>14600/I18</f>
        <v>1188.4411884411884</v>
      </c>
      <c r="H18" s="17"/>
      <c r="I18" s="15">
        <v>12.285</v>
      </c>
      <c r="J18" s="17">
        <v>165</v>
      </c>
      <c r="K18" s="15">
        <v>37</v>
      </c>
      <c r="L18" s="17">
        <v>11.2</v>
      </c>
      <c r="M18" s="15">
        <v>11.1</v>
      </c>
      <c r="N18" s="21" t="s">
        <v>171</v>
      </c>
    </row>
    <row r="19" spans="1:16" ht="18.5" x14ac:dyDescent="0.35">
      <c r="A19" s="28">
        <v>16</v>
      </c>
      <c r="B19" s="10" t="s">
        <v>172</v>
      </c>
      <c r="C19" s="16" t="s">
        <v>173</v>
      </c>
      <c r="D19" s="15"/>
      <c r="E19" s="14">
        <f t="shared" si="0"/>
        <v>0</v>
      </c>
      <c r="F19" s="14">
        <v>1377.7777777777778</v>
      </c>
      <c r="G19" s="14">
        <f>9346/I19</f>
        <v>1384.5925925925926</v>
      </c>
      <c r="H19" s="25">
        <f>9690/I19</f>
        <v>1435.5555555555557</v>
      </c>
      <c r="I19" s="17">
        <v>6.75</v>
      </c>
      <c r="J19" s="17">
        <v>189</v>
      </c>
      <c r="K19" s="15">
        <v>35</v>
      </c>
      <c r="L19" s="17">
        <v>6.75</v>
      </c>
      <c r="M19" s="15">
        <v>6.6</v>
      </c>
      <c r="N19" s="16"/>
    </row>
    <row r="20" spans="1:16" ht="29" x14ac:dyDescent="0.35">
      <c r="A20" s="28">
        <v>17</v>
      </c>
      <c r="B20" s="10" t="s">
        <v>182</v>
      </c>
      <c r="C20" s="16" t="s">
        <v>183</v>
      </c>
      <c r="D20" s="15"/>
      <c r="E20" s="14">
        <f t="shared" si="0"/>
        <v>0</v>
      </c>
      <c r="F20" s="14"/>
      <c r="G20" s="14">
        <f>9220/I20</f>
        <v>1111.5129596142253</v>
      </c>
      <c r="H20" s="18"/>
      <c r="I20" s="17">
        <f>0.395*21</f>
        <v>8.2949999999999999</v>
      </c>
      <c r="J20" s="24" t="s">
        <v>184</v>
      </c>
      <c r="K20" s="24" t="s">
        <v>185</v>
      </c>
      <c r="L20" s="17">
        <v>8.2899999999999991</v>
      </c>
      <c r="M20" s="15">
        <v>7.9</v>
      </c>
      <c r="N20" s="16"/>
      <c r="P20" s="1" t="s">
        <v>25</v>
      </c>
    </row>
    <row r="21" spans="1:16" ht="43.5" x14ac:dyDescent="0.35">
      <c r="A21" s="28">
        <v>18</v>
      </c>
      <c r="B21" s="10" t="s">
        <v>201</v>
      </c>
      <c r="C21" s="16" t="s">
        <v>202</v>
      </c>
      <c r="D21" s="15">
        <v>11590</v>
      </c>
      <c r="E21" s="14">
        <f t="shared" si="0"/>
        <v>1317.0454545454545</v>
      </c>
      <c r="F21" s="14">
        <f>11960/I21</f>
        <v>1359.090909090909</v>
      </c>
      <c r="G21" s="14">
        <f>8160/I21</f>
        <v>927.27272727272725</v>
      </c>
      <c r="H21" s="18"/>
      <c r="I21" s="17">
        <v>8.8000000000000007</v>
      </c>
      <c r="J21" s="17">
        <v>182</v>
      </c>
      <c r="K21" s="15">
        <v>38</v>
      </c>
      <c r="L21" s="17">
        <v>11.2</v>
      </c>
      <c r="M21" s="15">
        <v>11.2</v>
      </c>
      <c r="N21" s="21" t="s">
        <v>203</v>
      </c>
      <c r="P21" s="1" t="s">
        <v>19</v>
      </c>
    </row>
    <row r="22" spans="1:16" ht="29" x14ac:dyDescent="0.35">
      <c r="A22" s="28">
        <v>19</v>
      </c>
      <c r="B22" s="10" t="s">
        <v>204</v>
      </c>
      <c r="C22" s="16" t="s">
        <v>1100</v>
      </c>
      <c r="D22" s="15"/>
      <c r="E22" s="14">
        <f t="shared" si="0"/>
        <v>0</v>
      </c>
      <c r="F22" s="14"/>
      <c r="G22" s="14">
        <f>12300/I22</f>
        <v>1025</v>
      </c>
      <c r="H22" s="18"/>
      <c r="I22" s="17">
        <v>12</v>
      </c>
      <c r="J22" s="17">
        <v>186.7</v>
      </c>
      <c r="K22" s="15">
        <v>18</v>
      </c>
      <c r="L22" s="17">
        <v>12</v>
      </c>
      <c r="M22" s="15"/>
      <c r="N22" s="21" t="s">
        <v>211</v>
      </c>
    </row>
    <row r="23" spans="1:16" ht="43.5" x14ac:dyDescent="0.35">
      <c r="A23" s="28">
        <v>20</v>
      </c>
      <c r="B23" s="10" t="s">
        <v>220</v>
      </c>
      <c r="C23" s="16" t="s">
        <v>221</v>
      </c>
      <c r="D23" s="15"/>
      <c r="E23" s="14">
        <f t="shared" si="0"/>
        <v>0</v>
      </c>
      <c r="F23" s="14">
        <v>1149.1228070175439</v>
      </c>
      <c r="G23" s="14">
        <f>13060/I23</f>
        <v>1145.6140350877192</v>
      </c>
      <c r="H23" s="25">
        <f>11700/I23</f>
        <v>1026.3157894736842</v>
      </c>
      <c r="I23" s="17">
        <v>11.4</v>
      </c>
      <c r="J23" s="15">
        <v>217</v>
      </c>
      <c r="K23" s="15">
        <v>31</v>
      </c>
      <c r="L23" s="17">
        <v>13.6</v>
      </c>
      <c r="M23" s="15"/>
      <c r="N23" s="21" t="s">
        <v>222</v>
      </c>
      <c r="P23" s="1" t="s">
        <v>20</v>
      </c>
    </row>
    <row r="24" spans="1:16" ht="29" x14ac:dyDescent="0.35">
      <c r="A24" s="28">
        <v>21</v>
      </c>
      <c r="B24" s="10" t="s">
        <v>230</v>
      </c>
      <c r="C24" s="16" t="s">
        <v>231</v>
      </c>
      <c r="D24" s="15">
        <v>11800</v>
      </c>
      <c r="E24" s="14">
        <f t="shared" si="0"/>
        <v>1068.840579710145</v>
      </c>
      <c r="F24" s="14">
        <v>1077.8985507246377</v>
      </c>
      <c r="G24" s="14">
        <f>8250/I24</f>
        <v>747.28260869565224</v>
      </c>
      <c r="H24" s="15"/>
      <c r="I24" s="17">
        <f>5.06+5.98</f>
        <v>11.04</v>
      </c>
      <c r="J24" s="24" t="s">
        <v>232</v>
      </c>
      <c r="K24" s="24" t="s">
        <v>122</v>
      </c>
      <c r="L24" s="17">
        <v>11.04</v>
      </c>
      <c r="M24" s="15">
        <v>11.04</v>
      </c>
      <c r="N24" s="21" t="s">
        <v>233</v>
      </c>
      <c r="P24" s="1" t="s">
        <v>21</v>
      </c>
    </row>
    <row r="25" spans="1:16" ht="18.5" x14ac:dyDescent="0.35">
      <c r="A25" s="28">
        <v>22</v>
      </c>
      <c r="B25" s="10" t="s">
        <v>240</v>
      </c>
      <c r="C25" s="16" t="s">
        <v>143</v>
      </c>
      <c r="D25" s="15"/>
      <c r="E25" s="14">
        <f t="shared" si="0"/>
        <v>0</v>
      </c>
      <c r="F25" s="14"/>
      <c r="G25" s="14">
        <f>14400/I25</f>
        <v>1263.1578947368421</v>
      </c>
      <c r="H25" s="15"/>
      <c r="I25" s="17">
        <v>11.4</v>
      </c>
      <c r="J25" s="15">
        <v>211</v>
      </c>
      <c r="K25" s="15">
        <v>39</v>
      </c>
      <c r="L25" s="17">
        <v>11.4</v>
      </c>
      <c r="M25" s="15">
        <v>11.2</v>
      </c>
      <c r="N25" s="16"/>
      <c r="P25" s="1" t="s">
        <v>22</v>
      </c>
    </row>
    <row r="26" spans="1:16" ht="18.5" x14ac:dyDescent="0.35">
      <c r="A26" s="28">
        <v>23</v>
      </c>
      <c r="B26" s="10" t="s">
        <v>248</v>
      </c>
      <c r="C26" s="16" t="s">
        <v>249</v>
      </c>
      <c r="D26" s="15"/>
      <c r="E26" s="14">
        <f t="shared" si="0"/>
        <v>0</v>
      </c>
      <c r="F26" s="14">
        <v>1036.3924050632911</v>
      </c>
      <c r="G26" s="14">
        <f>14600/I26</f>
        <v>1155.0632911392404</v>
      </c>
      <c r="H26" s="25">
        <f>16300/I26</f>
        <v>1289.5569620253164</v>
      </c>
      <c r="I26" s="15">
        <f>32*0.395</f>
        <v>12.64</v>
      </c>
      <c r="J26" s="15">
        <v>173</v>
      </c>
      <c r="K26" s="15">
        <v>36.200000000000003</v>
      </c>
      <c r="L26" s="17">
        <v>11.2</v>
      </c>
      <c r="M26" s="15"/>
      <c r="N26" s="16"/>
      <c r="P26" s="1" t="s">
        <v>23</v>
      </c>
    </row>
    <row r="27" spans="1:16" ht="18.5" x14ac:dyDescent="0.35">
      <c r="A27" s="28">
        <v>24</v>
      </c>
      <c r="B27" s="10" t="s">
        <v>261</v>
      </c>
      <c r="C27" s="16" t="s">
        <v>262</v>
      </c>
      <c r="D27" s="15"/>
      <c r="E27" s="14">
        <f t="shared" si="0"/>
        <v>0</v>
      </c>
      <c r="F27" s="14">
        <v>1250</v>
      </c>
      <c r="G27" s="14">
        <f>12660/I27</f>
        <v>1130.3571428571429</v>
      </c>
      <c r="H27" s="15"/>
      <c r="I27" s="15">
        <v>11.2</v>
      </c>
      <c r="J27" s="15">
        <v>194</v>
      </c>
      <c r="K27" s="15">
        <v>27</v>
      </c>
      <c r="L27" s="15">
        <v>11.2</v>
      </c>
      <c r="M27" s="15"/>
      <c r="N27" s="29" t="s">
        <v>263</v>
      </c>
      <c r="P27" s="1" t="s">
        <v>24</v>
      </c>
    </row>
    <row r="28" spans="1:16" ht="18.5" x14ac:dyDescent="0.35">
      <c r="A28" s="28">
        <v>25</v>
      </c>
      <c r="B28" s="10" t="s">
        <v>285</v>
      </c>
      <c r="C28" s="16" t="s">
        <v>286</v>
      </c>
      <c r="D28" s="15"/>
      <c r="E28" s="14">
        <f t="shared" si="0"/>
        <v>0</v>
      </c>
      <c r="F28" s="14">
        <v>1273.4375</v>
      </c>
      <c r="G28" s="14">
        <f>16520/I28</f>
        <v>1290.625</v>
      </c>
      <c r="H28" s="15"/>
      <c r="I28" s="15">
        <v>12.8</v>
      </c>
      <c r="J28" s="15">
        <v>194</v>
      </c>
      <c r="K28" s="15">
        <v>38</v>
      </c>
      <c r="L28" s="15">
        <v>11.2</v>
      </c>
      <c r="M28" s="15">
        <v>11.1</v>
      </c>
      <c r="N28" s="16" t="s">
        <v>287</v>
      </c>
      <c r="P28" s="1"/>
    </row>
    <row r="29" spans="1:16" ht="18.5" x14ac:dyDescent="0.35">
      <c r="A29" s="28">
        <v>26</v>
      </c>
      <c r="B29" s="10" t="s">
        <v>288</v>
      </c>
      <c r="C29" s="16" t="s">
        <v>289</v>
      </c>
      <c r="D29" s="15"/>
      <c r="E29" s="14">
        <f t="shared" si="0"/>
        <v>0</v>
      </c>
      <c r="F29" s="14"/>
      <c r="G29" s="14">
        <f>14400/I29</f>
        <v>1200</v>
      </c>
      <c r="H29" s="15"/>
      <c r="I29" s="15">
        <v>12</v>
      </c>
      <c r="J29" s="15">
        <v>131</v>
      </c>
      <c r="K29" s="15">
        <v>20</v>
      </c>
      <c r="L29" s="15">
        <v>11.4</v>
      </c>
      <c r="M29" s="15">
        <v>11.2</v>
      </c>
      <c r="N29" s="16"/>
    </row>
    <row r="30" spans="1:16" ht="18.5" x14ac:dyDescent="0.35">
      <c r="A30" s="28">
        <v>27</v>
      </c>
      <c r="B30" s="10" t="s">
        <v>312</v>
      </c>
      <c r="C30" s="16" t="s">
        <v>313</v>
      </c>
      <c r="D30" s="15"/>
      <c r="E30" s="14">
        <f t="shared" si="0"/>
        <v>0</v>
      </c>
      <c r="F30" s="14"/>
      <c r="G30" s="14">
        <f>12530/I30</f>
        <v>1305.2083333333335</v>
      </c>
      <c r="H30" s="14">
        <f>3250/I30</f>
        <v>338.54166666666669</v>
      </c>
      <c r="I30" s="15">
        <v>9.6</v>
      </c>
      <c r="J30" s="15">
        <v>190</v>
      </c>
      <c r="K30" s="15">
        <v>43</v>
      </c>
      <c r="L30" s="15">
        <v>9.6</v>
      </c>
      <c r="M30" s="15">
        <v>9.6</v>
      </c>
      <c r="N30" s="16" t="s">
        <v>320</v>
      </c>
    </row>
    <row r="31" spans="1:16" ht="18.5" x14ac:dyDescent="0.35">
      <c r="A31" s="28">
        <v>28</v>
      </c>
      <c r="B31" s="10" t="s">
        <v>306</v>
      </c>
      <c r="C31" s="16" t="s">
        <v>305</v>
      </c>
      <c r="D31" s="15">
        <v>13190</v>
      </c>
      <c r="E31" s="14">
        <f t="shared" si="0"/>
        <v>1237.3358348968104</v>
      </c>
      <c r="F31" s="14">
        <v>1184.8030018761726</v>
      </c>
      <c r="G31" s="14">
        <f>1390/I31</f>
        <v>130.39399624765477</v>
      </c>
      <c r="H31" s="15"/>
      <c r="I31" s="15">
        <v>10.66</v>
      </c>
      <c r="J31" s="15">
        <v>150</v>
      </c>
      <c r="K31" s="15">
        <v>20</v>
      </c>
      <c r="L31" s="15">
        <v>10.5</v>
      </c>
      <c r="M31" s="15"/>
      <c r="N31" s="16" t="s">
        <v>316</v>
      </c>
    </row>
    <row r="32" spans="1:16" ht="29" x14ac:dyDescent="0.35">
      <c r="A32" s="28">
        <v>29</v>
      </c>
      <c r="B32" s="10" t="s">
        <v>304</v>
      </c>
      <c r="C32" s="16" t="s">
        <v>289</v>
      </c>
      <c r="D32" s="15">
        <v>11000</v>
      </c>
      <c r="E32" s="14">
        <f t="shared" si="0"/>
        <v>1057.6923076923076</v>
      </c>
      <c r="F32" s="14">
        <v>1105.7692307692307</v>
      </c>
      <c r="G32" s="14">
        <f>9340/I32</f>
        <v>898.07692307692309</v>
      </c>
      <c r="H32" s="14">
        <f>12300/I32</f>
        <v>1182.6923076923076</v>
      </c>
      <c r="I32" s="15">
        <v>10.4</v>
      </c>
      <c r="J32" s="39" t="s">
        <v>395</v>
      </c>
      <c r="K32" s="15">
        <v>35</v>
      </c>
      <c r="N32" s="21" t="s">
        <v>396</v>
      </c>
    </row>
    <row r="33" spans="1:16" ht="29" x14ac:dyDescent="0.35">
      <c r="A33" s="28">
        <v>30</v>
      </c>
      <c r="B33" s="10" t="s">
        <v>308</v>
      </c>
      <c r="C33" s="16" t="s">
        <v>309</v>
      </c>
      <c r="D33" s="15"/>
      <c r="E33" s="14">
        <f t="shared" si="0"/>
        <v>0</v>
      </c>
      <c r="F33" s="14"/>
      <c r="G33" s="14"/>
      <c r="H33" s="15"/>
      <c r="I33" s="15">
        <v>11.47</v>
      </c>
      <c r="J33" s="15">
        <v>194</v>
      </c>
      <c r="K33" s="15">
        <v>25</v>
      </c>
      <c r="L33" s="15">
        <v>11.2</v>
      </c>
      <c r="M33" s="15">
        <v>10.9</v>
      </c>
      <c r="N33" s="21" t="s">
        <v>940</v>
      </c>
    </row>
    <row r="34" spans="1:16" ht="29" x14ac:dyDescent="0.35">
      <c r="A34" s="28">
        <v>31</v>
      </c>
      <c r="B34" s="10" t="s">
        <v>349</v>
      </c>
      <c r="C34" s="16" t="s">
        <v>346</v>
      </c>
      <c r="D34" s="15"/>
      <c r="E34" s="14">
        <f t="shared" si="0"/>
        <v>0</v>
      </c>
      <c r="F34" s="14"/>
      <c r="G34" s="14"/>
      <c r="I34" s="15">
        <v>15.6</v>
      </c>
      <c r="J34" s="39" t="s">
        <v>352</v>
      </c>
      <c r="K34" s="35" t="s">
        <v>348</v>
      </c>
      <c r="L34" s="15">
        <v>13.6</v>
      </c>
      <c r="M34" s="15"/>
      <c r="N34" s="16" t="s">
        <v>347</v>
      </c>
      <c r="P34" s="1" t="s">
        <v>28</v>
      </c>
    </row>
    <row r="35" spans="1:16" ht="43.5" customHeight="1" x14ac:dyDescent="0.35">
      <c r="A35" s="28">
        <v>32</v>
      </c>
      <c r="B35" s="10" t="s">
        <v>375</v>
      </c>
      <c r="C35" s="36" t="s">
        <v>429</v>
      </c>
      <c r="D35" s="15">
        <v>17200</v>
      </c>
      <c r="E35" s="14">
        <f t="shared" si="0"/>
        <v>1155.9139784946235</v>
      </c>
      <c r="F35" s="14">
        <v>1135.752688172043</v>
      </c>
      <c r="G35" s="14">
        <f>16618/I35</f>
        <v>1116.8010752688172</v>
      </c>
      <c r="H35" s="14"/>
      <c r="I35" s="15">
        <v>14.88</v>
      </c>
      <c r="J35" s="15">
        <v>135</v>
      </c>
      <c r="K35" s="35">
        <v>32</v>
      </c>
      <c r="M35" s="35">
        <v>10.8</v>
      </c>
      <c r="N35" s="19" t="s">
        <v>430</v>
      </c>
      <c r="P35" s="1" t="s">
        <v>29</v>
      </c>
    </row>
    <row r="36" spans="1:16" ht="18.5" x14ac:dyDescent="0.35">
      <c r="A36" s="28">
        <v>33</v>
      </c>
      <c r="B36" s="10" t="s">
        <v>560</v>
      </c>
      <c r="C36" s="16" t="s">
        <v>561</v>
      </c>
      <c r="D36" s="15"/>
      <c r="E36" s="14">
        <f t="shared" si="0"/>
        <v>0</v>
      </c>
      <c r="F36" s="14">
        <v>1071.4285714285713</v>
      </c>
      <c r="G36" s="15"/>
      <c r="H36" s="15"/>
      <c r="I36" s="15">
        <v>14.56</v>
      </c>
      <c r="J36" s="15">
        <v>126</v>
      </c>
      <c r="K36" s="15" t="s">
        <v>348</v>
      </c>
      <c r="L36" s="15"/>
      <c r="M36" s="15"/>
      <c r="N36" s="16"/>
      <c r="P36" s="1" t="s">
        <v>30</v>
      </c>
    </row>
    <row r="37" spans="1:16" ht="18.5" x14ac:dyDescent="0.35">
      <c r="A37" s="28">
        <v>34</v>
      </c>
      <c r="B37" s="10" t="s">
        <v>528</v>
      </c>
      <c r="C37" s="16" t="s">
        <v>562</v>
      </c>
      <c r="D37" s="15"/>
      <c r="E37" s="14">
        <f t="shared" si="0"/>
        <v>0</v>
      </c>
      <c r="F37" s="14"/>
      <c r="G37" s="14">
        <f>797/I37</f>
        <v>68.647717484926787</v>
      </c>
      <c r="H37" s="15"/>
      <c r="I37" s="15">
        <v>11.61</v>
      </c>
      <c r="J37" s="15">
        <v>209</v>
      </c>
      <c r="K37" s="15">
        <v>36</v>
      </c>
      <c r="L37" s="15"/>
      <c r="M37" s="15">
        <v>10.8</v>
      </c>
      <c r="N37" s="16" t="s">
        <v>563</v>
      </c>
      <c r="P37" s="1" t="s">
        <v>31</v>
      </c>
    </row>
    <row r="38" spans="1:16" ht="43.5" x14ac:dyDescent="0.35">
      <c r="A38" s="28">
        <v>35</v>
      </c>
      <c r="B38" s="10" t="s">
        <v>582</v>
      </c>
      <c r="C38" s="21" t="s">
        <v>610</v>
      </c>
      <c r="D38" s="24"/>
      <c r="E38" s="14">
        <f t="shared" si="0"/>
        <v>0</v>
      </c>
      <c r="F38" s="14"/>
      <c r="G38" s="14"/>
      <c r="H38" s="15"/>
      <c r="I38" s="15">
        <f>28*0.44</f>
        <v>12.32</v>
      </c>
      <c r="J38" s="39" t="s">
        <v>606</v>
      </c>
      <c r="K38" s="24" t="s">
        <v>607</v>
      </c>
      <c r="L38" s="15">
        <v>3</v>
      </c>
      <c r="M38" s="15">
        <v>2.85</v>
      </c>
      <c r="N38" s="21" t="s">
        <v>608</v>
      </c>
      <c r="P38" s="1" t="s">
        <v>32</v>
      </c>
    </row>
    <row r="39" spans="1:16" ht="18.5" x14ac:dyDescent="0.35">
      <c r="A39" s="28">
        <v>36</v>
      </c>
      <c r="B39" s="10" t="s">
        <v>641</v>
      </c>
      <c r="C39" s="16" t="s">
        <v>642</v>
      </c>
      <c r="D39" s="15">
        <v>14917</v>
      </c>
      <c r="E39" s="14">
        <f t="shared" si="0"/>
        <v>1270.0723712217966</v>
      </c>
      <c r="F39" s="14">
        <v>1160.493827160494</v>
      </c>
      <c r="G39" s="15"/>
      <c r="H39" s="15"/>
      <c r="I39" s="15">
        <v>11.744999999999999</v>
      </c>
      <c r="J39" s="15">
        <v>145</v>
      </c>
      <c r="K39" s="15">
        <v>40</v>
      </c>
      <c r="L39" s="15">
        <v>11.2</v>
      </c>
      <c r="M39" s="15"/>
      <c r="N39" s="16" t="s">
        <v>643</v>
      </c>
      <c r="P39" s="1" t="s">
        <v>33</v>
      </c>
    </row>
    <row r="40" spans="1:16" ht="29" x14ac:dyDescent="0.35">
      <c r="A40" s="28">
        <v>37</v>
      </c>
      <c r="B40" s="10" t="s">
        <v>659</v>
      </c>
      <c r="C40" s="16" t="s">
        <v>661</v>
      </c>
      <c r="D40" s="15"/>
      <c r="E40" s="14">
        <f t="shared" si="0"/>
        <v>0</v>
      </c>
      <c r="F40" s="14"/>
      <c r="G40" s="15"/>
      <c r="H40" s="15"/>
      <c r="I40" s="15">
        <v>11.56</v>
      </c>
      <c r="J40" s="39" t="s">
        <v>662</v>
      </c>
      <c r="K40" s="24" t="s">
        <v>660</v>
      </c>
      <c r="L40" s="15"/>
      <c r="M40" s="15">
        <v>10.56</v>
      </c>
      <c r="N40" s="16" t="s">
        <v>663</v>
      </c>
      <c r="P40" s="1" t="s">
        <v>15</v>
      </c>
    </row>
    <row r="41" spans="1:16" ht="43.5" x14ac:dyDescent="0.35">
      <c r="A41" s="28">
        <v>38</v>
      </c>
      <c r="B41" s="10" t="s">
        <v>674</v>
      </c>
      <c r="C41" s="16" t="s">
        <v>675</v>
      </c>
      <c r="D41" s="15">
        <v>13600</v>
      </c>
      <c r="E41" s="14">
        <f t="shared" si="0"/>
        <v>1103.4482758620691</v>
      </c>
      <c r="F41" s="14">
        <f>12400/I41</f>
        <v>1006.0851926977688</v>
      </c>
      <c r="G41" s="15"/>
      <c r="H41" s="15"/>
      <c r="I41" s="15">
        <v>12.324999999999999</v>
      </c>
      <c r="J41" s="39" t="s">
        <v>677</v>
      </c>
      <c r="K41" s="24" t="s">
        <v>676</v>
      </c>
      <c r="L41" s="15">
        <v>11.28</v>
      </c>
      <c r="M41" s="15">
        <v>10.6</v>
      </c>
      <c r="N41" s="21" t="s">
        <v>673</v>
      </c>
      <c r="P41" s="1" t="s">
        <v>34</v>
      </c>
    </row>
    <row r="42" spans="1:16" ht="29" x14ac:dyDescent="0.35">
      <c r="A42" s="28">
        <v>39</v>
      </c>
      <c r="B42" s="10" t="s">
        <v>1031</v>
      </c>
      <c r="C42" s="16" t="s">
        <v>1032</v>
      </c>
      <c r="D42" s="15">
        <v>17100</v>
      </c>
      <c r="E42" s="14">
        <f t="shared" si="0"/>
        <v>1401.6393442622953</v>
      </c>
      <c r="F42" s="14">
        <v>882.70491803278696</v>
      </c>
      <c r="G42" s="15"/>
      <c r="H42" s="15"/>
      <c r="I42" s="15">
        <v>12.2</v>
      </c>
      <c r="J42" s="39">
        <v>170</v>
      </c>
      <c r="K42" s="24">
        <v>25</v>
      </c>
      <c r="L42" s="15"/>
      <c r="M42" s="15"/>
      <c r="N42" s="21" t="s">
        <v>1098</v>
      </c>
    </row>
    <row r="43" spans="1:16" ht="29" x14ac:dyDescent="0.35">
      <c r="A43" s="28">
        <v>40</v>
      </c>
      <c r="B43" s="10" t="s">
        <v>1072</v>
      </c>
      <c r="C43" s="16" t="s">
        <v>1073</v>
      </c>
      <c r="D43" s="15"/>
      <c r="E43" s="14">
        <f t="shared" si="0"/>
        <v>0</v>
      </c>
      <c r="F43" s="14"/>
      <c r="G43" s="14">
        <f>1064/I43</f>
        <v>385.50724637681162</v>
      </c>
      <c r="H43" s="15"/>
      <c r="I43" s="15">
        <v>2.76</v>
      </c>
      <c r="J43" s="39">
        <v>180</v>
      </c>
      <c r="K43" s="24">
        <v>8</v>
      </c>
      <c r="L43" s="15">
        <v>0</v>
      </c>
      <c r="M43" s="15">
        <v>0.15</v>
      </c>
      <c r="N43" s="21" t="s">
        <v>1074</v>
      </c>
      <c r="P43" s="1" t="s">
        <v>46</v>
      </c>
    </row>
    <row r="44" spans="1:16" ht="29" x14ac:dyDescent="0.35">
      <c r="A44" s="28">
        <v>41</v>
      </c>
      <c r="B44" s="10" t="s">
        <v>1076</v>
      </c>
      <c r="C44" s="16" t="s">
        <v>1077</v>
      </c>
      <c r="D44" s="15">
        <v>18760</v>
      </c>
      <c r="E44" s="14">
        <f t="shared" si="0"/>
        <v>1218.1818181818182</v>
      </c>
      <c r="F44" s="14">
        <v>548.05194805194799</v>
      </c>
      <c r="G44" s="14"/>
      <c r="H44" s="15"/>
      <c r="I44" s="15">
        <f>35*0.44</f>
        <v>15.4</v>
      </c>
      <c r="J44" s="39" t="s">
        <v>1078</v>
      </c>
      <c r="K44" s="24" t="s">
        <v>1079</v>
      </c>
      <c r="L44" s="15">
        <v>13.7</v>
      </c>
      <c r="M44" s="15"/>
      <c r="N44" s="21" t="s">
        <v>1109</v>
      </c>
      <c r="P44" s="1" t="s">
        <v>47</v>
      </c>
    </row>
    <row r="45" spans="1:16" ht="87" x14ac:dyDescent="0.35">
      <c r="A45" s="28">
        <v>42</v>
      </c>
      <c r="B45" s="10" t="s">
        <v>1088</v>
      </c>
      <c r="C45" s="16" t="s">
        <v>1091</v>
      </c>
      <c r="D45" s="15">
        <v>10700</v>
      </c>
      <c r="E45" s="14">
        <f>10700/10.56</f>
        <v>1013.2575757575758</v>
      </c>
      <c r="F45" s="14">
        <v>625</v>
      </c>
      <c r="G45" s="15"/>
      <c r="H45" s="15"/>
      <c r="I45" s="15">
        <v>13.2</v>
      </c>
      <c r="J45" s="39" t="s">
        <v>1118</v>
      </c>
      <c r="K45" s="24" t="s">
        <v>1092</v>
      </c>
      <c r="L45" s="15">
        <v>13.6</v>
      </c>
      <c r="M45" s="15"/>
      <c r="N45" s="21" t="s">
        <v>1117</v>
      </c>
      <c r="P45" s="1" t="s">
        <v>48</v>
      </c>
    </row>
    <row r="46" spans="1:16" ht="18.5" x14ac:dyDescent="0.35">
      <c r="A46" s="28">
        <v>43</v>
      </c>
      <c r="B46" s="10" t="s">
        <v>1089</v>
      </c>
      <c r="C46" s="16" t="s">
        <v>143</v>
      </c>
      <c r="D46" s="15">
        <v>10332</v>
      </c>
      <c r="E46" s="14">
        <f t="shared" si="0"/>
        <v>903.14685314685323</v>
      </c>
      <c r="F46" s="14"/>
      <c r="G46" s="15"/>
      <c r="H46" s="15"/>
      <c r="I46" s="15">
        <v>11.44</v>
      </c>
      <c r="J46" s="15">
        <v>210</v>
      </c>
      <c r="K46" s="15">
        <v>32.5</v>
      </c>
      <c r="L46" s="15"/>
      <c r="M46" s="15"/>
      <c r="N46" s="16" t="s">
        <v>1090</v>
      </c>
      <c r="P46" s="1" t="s">
        <v>49</v>
      </c>
    </row>
    <row r="47" spans="1:16" ht="18.5" x14ac:dyDescent="0.35">
      <c r="A47" s="28">
        <v>44</v>
      </c>
      <c r="B47" s="10" t="s">
        <v>1093</v>
      </c>
      <c r="C47" s="16" t="s">
        <v>1094</v>
      </c>
      <c r="D47" s="15">
        <v>16960</v>
      </c>
      <c r="E47" s="14">
        <f t="shared" si="0"/>
        <v>1239.766081871345</v>
      </c>
      <c r="F47" s="14">
        <v>1240.4970760233919</v>
      </c>
      <c r="G47" s="14">
        <f>16660/I47</f>
        <v>1217.8362573099416</v>
      </c>
      <c r="H47" s="15"/>
      <c r="I47" s="15">
        <f>36*0.38</f>
        <v>13.68</v>
      </c>
      <c r="J47" s="15">
        <v>168</v>
      </c>
      <c r="K47" s="15">
        <v>17</v>
      </c>
      <c r="L47" s="15">
        <v>13.6</v>
      </c>
      <c r="M47" s="15">
        <v>13.5</v>
      </c>
      <c r="N47" s="16"/>
      <c r="P47" s="1" t="s">
        <v>50</v>
      </c>
    </row>
    <row r="48" spans="1:16" ht="18.5" x14ac:dyDescent="0.35">
      <c r="A48" s="28">
        <v>45</v>
      </c>
      <c r="B48" s="10" t="s">
        <v>1095</v>
      </c>
      <c r="C48" s="16" t="s">
        <v>1096</v>
      </c>
      <c r="D48" s="15">
        <v>9700</v>
      </c>
      <c r="E48" s="14">
        <f t="shared" si="0"/>
        <v>1037.433155080214</v>
      </c>
      <c r="F48" s="14">
        <v>1090.909090909091</v>
      </c>
      <c r="G48" s="15"/>
      <c r="H48" s="15"/>
      <c r="I48" s="15">
        <v>9.35</v>
      </c>
      <c r="J48" s="15">
        <v>99</v>
      </c>
      <c r="K48" s="15">
        <v>7</v>
      </c>
      <c r="L48" s="15"/>
      <c r="M48" s="15">
        <v>6.18</v>
      </c>
      <c r="N48" s="16" t="s">
        <v>1097</v>
      </c>
      <c r="P48" s="1" t="s">
        <v>51</v>
      </c>
    </row>
    <row r="49" spans="1:16" ht="43.5" x14ac:dyDescent="0.35">
      <c r="A49" s="28">
        <v>46</v>
      </c>
      <c r="B49" s="10" t="s">
        <v>1102</v>
      </c>
      <c r="C49" s="16" t="s">
        <v>1107</v>
      </c>
      <c r="D49" s="15">
        <v>10500</v>
      </c>
      <c r="E49" s="14">
        <f t="shared" si="0"/>
        <v>786.51685393258424</v>
      </c>
      <c r="F49" s="15"/>
      <c r="G49" s="15"/>
      <c r="H49" s="15"/>
      <c r="I49" s="15">
        <v>13.35</v>
      </c>
      <c r="J49" s="39" t="s">
        <v>1103</v>
      </c>
      <c r="K49" s="24" t="s">
        <v>1104</v>
      </c>
      <c r="L49" s="15">
        <v>2.67</v>
      </c>
      <c r="M49" s="15">
        <v>2.4</v>
      </c>
      <c r="N49" s="21" t="s">
        <v>1108</v>
      </c>
      <c r="P49" s="1" t="s">
        <v>52</v>
      </c>
    </row>
    <row r="50" spans="1:16" ht="18.5" x14ac:dyDescent="0.35">
      <c r="B50" s="10"/>
      <c r="C50" s="16"/>
      <c r="D50" s="16"/>
      <c r="E50" s="16"/>
      <c r="F50" s="15"/>
      <c r="G50" s="15"/>
      <c r="H50" s="15"/>
      <c r="I50" s="15"/>
      <c r="J50" s="15"/>
      <c r="K50" s="15"/>
      <c r="L50" s="15"/>
      <c r="M50" s="15"/>
      <c r="N50" s="16"/>
      <c r="P50" s="1" t="s">
        <v>59</v>
      </c>
    </row>
    <row r="51" spans="1:16" ht="18.5" x14ac:dyDescent="0.35">
      <c r="B51" s="10"/>
      <c r="C51" s="16"/>
      <c r="D51" s="16"/>
      <c r="E51" s="16"/>
      <c r="F51" s="15"/>
      <c r="G51" s="15"/>
      <c r="H51" s="15"/>
      <c r="I51" s="15"/>
      <c r="J51" s="15"/>
      <c r="K51" s="15"/>
      <c r="L51" s="15"/>
      <c r="M51" s="15"/>
      <c r="N51" s="16"/>
      <c r="P51" s="1" t="s">
        <v>60</v>
      </c>
    </row>
    <row r="52" spans="1:16" ht="15.5" x14ac:dyDescent="0.35">
      <c r="B52" s="13"/>
      <c r="C52" s="26"/>
      <c r="D52" s="26"/>
      <c r="E52" s="26"/>
      <c r="F52" s="27"/>
      <c r="G52" s="27"/>
      <c r="H52" s="27"/>
      <c r="I52" s="27"/>
      <c r="J52" s="27"/>
      <c r="K52" s="27"/>
      <c r="L52" s="27"/>
      <c r="M52" s="27"/>
      <c r="N52" s="26"/>
    </row>
    <row r="53" spans="1:16" ht="15.5" x14ac:dyDescent="0.35">
      <c r="B53" s="13"/>
      <c r="C53" s="26"/>
      <c r="D53" s="26"/>
      <c r="E53" s="26"/>
      <c r="F53" s="27"/>
      <c r="G53" s="27"/>
      <c r="H53" s="27"/>
      <c r="I53" s="27"/>
      <c r="J53" s="27"/>
      <c r="K53" s="27"/>
      <c r="L53" s="27"/>
      <c r="M53" s="27"/>
      <c r="N53" s="26"/>
      <c r="P53" s="1" t="s">
        <v>63</v>
      </c>
    </row>
    <row r="54" spans="1:16" ht="15.5" x14ac:dyDescent="0.35">
      <c r="B54" s="13"/>
      <c r="C54" s="26"/>
      <c r="D54" s="26"/>
      <c r="E54" s="26"/>
      <c r="F54" s="27"/>
      <c r="G54" s="27"/>
      <c r="H54" s="27"/>
      <c r="I54" s="27"/>
      <c r="J54" s="27"/>
      <c r="K54" s="27"/>
      <c r="L54" s="27"/>
      <c r="M54" s="27"/>
      <c r="N54" s="26"/>
      <c r="P54" s="1" t="s">
        <v>64</v>
      </c>
    </row>
    <row r="55" spans="1:16" ht="15.5" x14ac:dyDescent="0.35">
      <c r="B55" s="13"/>
      <c r="C55" s="26"/>
      <c r="D55" s="26"/>
      <c r="E55" s="26"/>
      <c r="F55" s="27"/>
      <c r="G55" s="27"/>
      <c r="H55" s="27"/>
      <c r="I55" s="27"/>
      <c r="J55" s="27"/>
      <c r="K55" s="27"/>
      <c r="L55" s="27"/>
      <c r="M55" s="27"/>
      <c r="N55" s="26"/>
      <c r="P55" s="1" t="s">
        <v>65</v>
      </c>
    </row>
    <row r="56" spans="1:16" ht="15.5" x14ac:dyDescent="0.35">
      <c r="B56" s="13"/>
      <c r="C56" s="26"/>
      <c r="D56" s="26"/>
      <c r="E56" s="26"/>
      <c r="F56" s="27"/>
      <c r="G56" s="27"/>
      <c r="H56" s="27"/>
      <c r="I56" s="27"/>
      <c r="J56" s="27"/>
      <c r="K56" s="27"/>
      <c r="L56" s="27"/>
      <c r="M56" s="27"/>
      <c r="N56" s="26"/>
      <c r="P56" s="1" t="s">
        <v>66</v>
      </c>
    </row>
    <row r="57" spans="1:16" ht="15.5" x14ac:dyDescent="0.35">
      <c r="B57" s="13"/>
      <c r="C57" s="26"/>
      <c r="D57" s="26"/>
      <c r="E57" s="26"/>
      <c r="F57" s="27"/>
      <c r="G57" s="27"/>
      <c r="H57" s="27"/>
      <c r="I57" s="27"/>
      <c r="J57" s="27"/>
      <c r="K57" s="27"/>
      <c r="L57" s="27"/>
      <c r="M57" s="27"/>
      <c r="N57" s="26"/>
      <c r="P57" s="1" t="s">
        <v>67</v>
      </c>
    </row>
    <row r="58" spans="1:16" ht="15.5" x14ac:dyDescent="0.35">
      <c r="B58" s="13"/>
      <c r="C58" s="26"/>
      <c r="D58" s="26"/>
      <c r="E58" s="26"/>
      <c r="F58" s="27"/>
      <c r="G58" s="27"/>
      <c r="H58" s="27"/>
      <c r="I58" s="27"/>
      <c r="J58" s="27"/>
      <c r="K58" s="27"/>
      <c r="L58" s="27"/>
      <c r="M58" s="27"/>
      <c r="N58" s="26"/>
      <c r="P58" s="1" t="s">
        <v>68</v>
      </c>
    </row>
    <row r="59" spans="1:16" ht="15.5" x14ac:dyDescent="0.35">
      <c r="B59" s="13"/>
      <c r="C59" s="26"/>
      <c r="D59" s="26"/>
      <c r="E59" s="26"/>
      <c r="F59" s="27"/>
      <c r="G59" s="27"/>
      <c r="H59" s="27"/>
      <c r="I59" s="27"/>
      <c r="J59" s="27"/>
      <c r="K59" s="27"/>
      <c r="L59" s="27"/>
      <c r="M59" s="27"/>
      <c r="N59" s="26"/>
      <c r="P59" s="1" t="s">
        <v>69</v>
      </c>
    </row>
    <row r="60" spans="1:16" ht="15.5" x14ac:dyDescent="0.35">
      <c r="B60" s="13"/>
      <c r="C60" s="26"/>
      <c r="D60" s="26"/>
      <c r="E60" s="26"/>
      <c r="F60" s="27"/>
      <c r="G60" s="27"/>
      <c r="H60" s="27"/>
      <c r="I60" s="27"/>
      <c r="J60" s="27"/>
      <c r="K60" s="27"/>
      <c r="L60" s="27"/>
      <c r="M60" s="27"/>
      <c r="N60" s="26"/>
      <c r="P60" s="1" t="s">
        <v>61</v>
      </c>
    </row>
    <row r="61" spans="1:16" ht="15.5" x14ac:dyDescent="0.35">
      <c r="B61" s="13"/>
      <c r="C61" s="26"/>
      <c r="D61" s="26"/>
      <c r="E61" s="26"/>
      <c r="F61" s="27"/>
      <c r="G61" s="27"/>
      <c r="H61" s="27"/>
      <c r="I61" s="27"/>
      <c r="J61" s="27"/>
      <c r="K61" s="27"/>
      <c r="L61" s="27"/>
      <c r="M61" s="27"/>
      <c r="N61" s="26"/>
      <c r="P61" s="1" t="s">
        <v>62</v>
      </c>
    </row>
    <row r="62" spans="1:16" ht="15.5" x14ac:dyDescent="0.35">
      <c r="B62" s="13"/>
      <c r="C62" s="26"/>
      <c r="D62" s="26"/>
      <c r="E62" s="26"/>
      <c r="F62" s="27"/>
      <c r="G62" s="27"/>
      <c r="H62" s="27"/>
      <c r="I62" s="27"/>
      <c r="J62" s="27"/>
      <c r="K62" s="27"/>
      <c r="L62" s="27"/>
      <c r="M62" s="27"/>
      <c r="N62" s="26"/>
    </row>
    <row r="63" spans="1:16" ht="15.5" x14ac:dyDescent="0.35">
      <c r="B63" s="13"/>
      <c r="C63" s="26"/>
      <c r="D63" s="26"/>
      <c r="E63" s="26"/>
      <c r="F63" s="27"/>
      <c r="G63" s="27"/>
      <c r="H63" s="27"/>
      <c r="I63" s="27"/>
      <c r="J63" s="27"/>
      <c r="K63" s="27"/>
      <c r="L63" s="27"/>
      <c r="M63" s="27"/>
      <c r="N63" s="26"/>
      <c r="P63" s="1" t="s">
        <v>77</v>
      </c>
    </row>
    <row r="64" spans="1:16" ht="15.5" x14ac:dyDescent="0.35">
      <c r="B64" s="13"/>
      <c r="C64" s="26"/>
      <c r="D64" s="26"/>
      <c r="E64" s="26"/>
      <c r="F64" s="27"/>
      <c r="G64" s="27"/>
      <c r="H64" s="27"/>
      <c r="I64" s="27"/>
      <c r="J64" s="27"/>
      <c r="K64" s="27"/>
      <c r="L64" s="27"/>
      <c r="M64" s="27"/>
      <c r="N64" s="26"/>
      <c r="P64" s="1" t="s">
        <v>78</v>
      </c>
    </row>
    <row r="65" spans="2:16" ht="15.5" x14ac:dyDescent="0.35">
      <c r="B65" s="13"/>
      <c r="C65" s="26"/>
      <c r="D65" s="26"/>
      <c r="E65" s="26"/>
      <c r="F65" s="27"/>
      <c r="G65" s="27"/>
      <c r="H65" s="27"/>
      <c r="I65" s="27"/>
      <c r="J65" s="27"/>
      <c r="K65" s="27"/>
      <c r="L65" s="27"/>
      <c r="M65" s="27"/>
      <c r="N65" s="26"/>
      <c r="P65" s="1" t="s">
        <v>79</v>
      </c>
    </row>
    <row r="66" spans="2:16" ht="15.5" x14ac:dyDescent="0.35">
      <c r="B66" s="13"/>
      <c r="C66" s="26"/>
      <c r="D66" s="26"/>
      <c r="E66" s="26"/>
      <c r="F66" s="27"/>
      <c r="G66" s="27"/>
      <c r="H66" s="27"/>
      <c r="I66" s="27"/>
      <c r="J66" s="27"/>
      <c r="K66" s="27"/>
      <c r="L66" s="27"/>
      <c r="M66" s="27"/>
      <c r="N66" s="26"/>
      <c r="P66" s="1" t="s">
        <v>80</v>
      </c>
    </row>
    <row r="67" spans="2:16" ht="15.5" x14ac:dyDescent="0.35">
      <c r="B67" s="13"/>
      <c r="C67" s="26"/>
      <c r="D67" s="26"/>
      <c r="E67" s="26"/>
      <c r="F67" s="27"/>
      <c r="G67" s="27"/>
      <c r="H67" s="27"/>
      <c r="I67" s="27"/>
      <c r="J67" s="27"/>
      <c r="K67" s="27"/>
      <c r="L67" s="27"/>
      <c r="M67" s="27"/>
      <c r="N67" s="26"/>
      <c r="P67" s="1" t="s">
        <v>81</v>
      </c>
    </row>
    <row r="68" spans="2:16" ht="15.5" x14ac:dyDescent="0.35">
      <c r="B68" s="13"/>
      <c r="C68" s="26"/>
      <c r="D68" s="26"/>
      <c r="E68" s="26"/>
      <c r="F68" s="27"/>
      <c r="G68" s="27"/>
      <c r="H68" s="27"/>
      <c r="I68" s="27"/>
      <c r="J68" s="27"/>
      <c r="K68" s="27"/>
      <c r="L68" s="27"/>
      <c r="M68" s="27"/>
      <c r="N68" s="26"/>
      <c r="P68" s="1" t="s">
        <v>82</v>
      </c>
    </row>
    <row r="69" spans="2:16" ht="15.5" x14ac:dyDescent="0.35">
      <c r="B69" s="13"/>
      <c r="C69" s="26"/>
      <c r="D69" s="26"/>
      <c r="E69" s="26"/>
      <c r="F69" s="27"/>
      <c r="G69" s="27"/>
      <c r="H69" s="27"/>
      <c r="I69" s="27"/>
      <c r="J69" s="27"/>
      <c r="K69" s="27"/>
      <c r="L69" s="27"/>
      <c r="M69" s="27"/>
      <c r="N69" s="26"/>
      <c r="P69" s="1" t="s">
        <v>83</v>
      </c>
    </row>
    <row r="70" spans="2:16" ht="15.5" x14ac:dyDescent="0.35">
      <c r="B70" s="13"/>
      <c r="C70" s="26"/>
      <c r="D70" s="26"/>
      <c r="E70" s="26"/>
      <c r="F70" s="27"/>
      <c r="G70" s="27"/>
      <c r="H70" s="27"/>
      <c r="I70" s="27"/>
      <c r="J70" s="27"/>
      <c r="K70" s="27"/>
      <c r="L70" s="27"/>
      <c r="M70" s="27"/>
      <c r="N70" s="26"/>
      <c r="P70" s="1" t="s">
        <v>84</v>
      </c>
    </row>
    <row r="71" spans="2:16" ht="15.5" x14ac:dyDescent="0.35">
      <c r="B71" s="13"/>
      <c r="C71" s="26"/>
      <c r="D71" s="26"/>
      <c r="E71" s="26"/>
      <c r="F71" s="27"/>
      <c r="G71" s="27"/>
      <c r="H71" s="27"/>
      <c r="I71" s="27"/>
      <c r="J71" s="27"/>
      <c r="K71" s="27"/>
      <c r="L71" s="27"/>
      <c r="M71" s="27"/>
      <c r="N71" s="26"/>
      <c r="P71" s="1" t="s">
        <v>72</v>
      </c>
    </row>
    <row r="72" spans="2:16" ht="15.5" x14ac:dyDescent="0.35">
      <c r="B72" s="13"/>
      <c r="C72" s="26"/>
      <c r="D72" s="26"/>
      <c r="E72" s="26"/>
      <c r="F72" s="27"/>
      <c r="G72" s="27"/>
      <c r="H72" s="27"/>
      <c r="I72" s="27"/>
      <c r="J72" s="27"/>
      <c r="K72" s="27"/>
      <c r="L72" s="27"/>
      <c r="M72" s="27"/>
      <c r="N72" s="26"/>
      <c r="P72" s="1" t="s">
        <v>73</v>
      </c>
    </row>
    <row r="73" spans="2:16" ht="15.5" x14ac:dyDescent="0.35">
      <c r="B73" s="13"/>
      <c r="C73" s="26"/>
      <c r="D73" s="26"/>
      <c r="E73" s="26"/>
      <c r="F73" s="27"/>
      <c r="G73" s="27"/>
      <c r="H73" s="27"/>
      <c r="I73" s="27"/>
      <c r="J73" s="27"/>
      <c r="K73" s="27"/>
      <c r="L73" s="27"/>
      <c r="M73" s="27"/>
      <c r="N73" s="26"/>
      <c r="P73" s="1" t="s">
        <v>74</v>
      </c>
    </row>
    <row r="74" spans="2:16" ht="15.5" x14ac:dyDescent="0.35">
      <c r="B74" s="13"/>
      <c r="C74" s="26"/>
      <c r="D74" s="26"/>
      <c r="E74" s="26"/>
      <c r="F74" s="27"/>
      <c r="G74" s="27"/>
      <c r="H74" s="27"/>
      <c r="I74" s="27"/>
      <c r="J74" s="27"/>
      <c r="K74" s="27"/>
      <c r="L74" s="27"/>
      <c r="M74" s="27"/>
      <c r="N74" s="26"/>
      <c r="P74" s="1" t="s">
        <v>75</v>
      </c>
    </row>
    <row r="75" spans="2:16" ht="15.5" x14ac:dyDescent="0.35">
      <c r="B75" s="13"/>
      <c r="C75" s="26"/>
      <c r="D75" s="26"/>
      <c r="E75" s="26"/>
      <c r="F75" s="27"/>
      <c r="G75" s="27"/>
      <c r="H75" s="27"/>
      <c r="I75" s="27"/>
      <c r="J75" s="27"/>
      <c r="K75" s="27"/>
      <c r="L75" s="27"/>
      <c r="M75" s="27"/>
      <c r="N75" s="26"/>
      <c r="P75" s="1" t="s">
        <v>76</v>
      </c>
    </row>
    <row r="76" spans="2:16" ht="15.5" x14ac:dyDescent="0.35">
      <c r="B76" s="13"/>
      <c r="C76" s="26"/>
      <c r="D76" s="26"/>
      <c r="E76" s="26"/>
      <c r="F76" s="27"/>
      <c r="G76" s="27"/>
      <c r="H76" s="27"/>
      <c r="I76" s="27"/>
      <c r="J76" s="27"/>
      <c r="K76" s="27"/>
      <c r="L76" s="27"/>
      <c r="M76" s="27"/>
      <c r="N76" s="26"/>
    </row>
    <row r="77" spans="2:16" ht="15.5" x14ac:dyDescent="0.35">
      <c r="B77" s="13"/>
      <c r="C77" s="26"/>
      <c r="D77" s="26"/>
      <c r="E77" s="26"/>
      <c r="F77" s="27"/>
      <c r="G77" s="27"/>
      <c r="H77" s="27"/>
      <c r="I77" s="27"/>
      <c r="J77" s="27"/>
      <c r="K77" s="27"/>
      <c r="L77" s="27"/>
      <c r="M77" s="27"/>
      <c r="N77" s="26"/>
      <c r="P77" s="1" t="s">
        <v>89</v>
      </c>
    </row>
    <row r="78" spans="2:16" ht="15.5" x14ac:dyDescent="0.35">
      <c r="B78" s="13"/>
      <c r="C78" s="26"/>
      <c r="D78" s="26"/>
      <c r="E78" s="26"/>
      <c r="F78" s="27"/>
      <c r="G78" s="27"/>
      <c r="H78" s="27"/>
      <c r="I78" s="27"/>
      <c r="J78" s="27"/>
      <c r="K78" s="27"/>
      <c r="L78" s="27"/>
      <c r="M78" s="27"/>
      <c r="N78" s="26"/>
      <c r="P78" s="1" t="s">
        <v>90</v>
      </c>
    </row>
    <row r="79" spans="2:16" ht="15.5" x14ac:dyDescent="0.35">
      <c r="B79" s="13"/>
      <c r="C79" s="26"/>
      <c r="D79" s="26"/>
      <c r="E79" s="26"/>
      <c r="F79" s="26"/>
      <c r="G79" s="26"/>
      <c r="H79" s="26"/>
      <c r="I79" s="26"/>
      <c r="J79" s="26"/>
      <c r="K79" s="26"/>
      <c r="L79" s="26"/>
      <c r="M79" s="26"/>
      <c r="N79" s="26"/>
      <c r="P79" s="1" t="s">
        <v>91</v>
      </c>
    </row>
    <row r="80" spans="2:16" ht="15.5" x14ac:dyDescent="0.35">
      <c r="B80" s="13"/>
      <c r="C80" s="26"/>
      <c r="D80" s="26"/>
      <c r="E80" s="26"/>
      <c r="F80" s="26"/>
      <c r="G80" s="26"/>
      <c r="H80" s="26"/>
      <c r="I80" s="26"/>
      <c r="J80" s="26"/>
      <c r="K80" s="26"/>
      <c r="L80" s="26"/>
      <c r="M80" s="26"/>
      <c r="N80" s="26"/>
      <c r="P80" s="1" t="s">
        <v>92</v>
      </c>
    </row>
    <row r="81" spans="2:16" ht="15.5" x14ac:dyDescent="0.35">
      <c r="B81" s="13"/>
      <c r="C81" s="26"/>
      <c r="D81" s="26"/>
      <c r="E81" s="26"/>
      <c r="F81" s="26"/>
      <c r="G81" s="26"/>
      <c r="H81" s="26"/>
      <c r="I81" s="26"/>
      <c r="J81" s="26"/>
      <c r="K81" s="26"/>
      <c r="L81" s="26"/>
      <c r="M81" s="26"/>
      <c r="N81" s="26"/>
      <c r="P81" s="1" t="s">
        <v>93</v>
      </c>
    </row>
    <row r="82" spans="2:16" ht="15.5" x14ac:dyDescent="0.35">
      <c r="B82" s="13"/>
      <c r="C82" s="26"/>
      <c r="D82" s="26"/>
      <c r="E82" s="26"/>
      <c r="F82" s="26"/>
      <c r="G82" s="26"/>
      <c r="H82" s="26"/>
      <c r="I82" s="26"/>
      <c r="J82" s="26"/>
      <c r="K82" s="26"/>
      <c r="L82" s="26"/>
      <c r="M82" s="26"/>
      <c r="N82" s="26"/>
      <c r="P82" s="1" t="s">
        <v>94</v>
      </c>
    </row>
    <row r="83" spans="2:16" ht="15.5" x14ac:dyDescent="0.35">
      <c r="B83" s="13"/>
      <c r="C83" s="26"/>
      <c r="D83" s="26"/>
      <c r="E83" s="26"/>
      <c r="F83" s="26"/>
      <c r="G83" s="26"/>
      <c r="H83" s="26"/>
      <c r="I83" s="26"/>
      <c r="J83" s="26"/>
      <c r="K83" s="26"/>
      <c r="L83" s="26"/>
      <c r="M83" s="26"/>
      <c r="N83" s="26"/>
      <c r="P83" s="1" t="s">
        <v>95</v>
      </c>
    </row>
    <row r="84" spans="2:16" ht="15.5" x14ac:dyDescent="0.35">
      <c r="B84" s="13"/>
      <c r="C84" s="26"/>
      <c r="D84" s="26"/>
      <c r="E84" s="26"/>
      <c r="F84" s="26"/>
      <c r="G84" s="26"/>
      <c r="H84" s="26"/>
      <c r="I84" s="26"/>
      <c r="J84" s="26"/>
      <c r="K84" s="26"/>
      <c r="L84" s="26"/>
      <c r="M84" s="26"/>
      <c r="N84" s="26"/>
      <c r="P84" s="1" t="s">
        <v>96</v>
      </c>
    </row>
    <row r="85" spans="2:16" ht="15.5" x14ac:dyDescent="0.35">
      <c r="B85" s="13"/>
      <c r="C85" s="26"/>
      <c r="D85" s="26"/>
      <c r="E85" s="26"/>
      <c r="F85" s="26"/>
      <c r="G85" s="26"/>
      <c r="H85" s="26"/>
      <c r="I85" s="26"/>
      <c r="J85" s="26"/>
      <c r="K85" s="26"/>
      <c r="L85" s="26"/>
      <c r="M85" s="26"/>
      <c r="N85" s="26"/>
    </row>
    <row r="86" spans="2:16" ht="15.5" x14ac:dyDescent="0.35">
      <c r="B86" s="13"/>
      <c r="C86" s="26"/>
      <c r="D86" s="26"/>
      <c r="E86" s="26"/>
      <c r="F86" s="26"/>
      <c r="G86" s="26"/>
      <c r="H86" s="26"/>
      <c r="I86" s="26"/>
      <c r="J86" s="26"/>
      <c r="K86" s="26"/>
      <c r="L86" s="26"/>
      <c r="M86" s="26"/>
      <c r="N86" s="26"/>
      <c r="P86" s="1" t="s">
        <v>101</v>
      </c>
    </row>
    <row r="87" spans="2:16" ht="15.5" x14ac:dyDescent="0.35">
      <c r="B87" s="13"/>
      <c r="C87" s="26"/>
      <c r="D87" s="26"/>
      <c r="E87" s="26"/>
      <c r="F87" s="26"/>
      <c r="G87" s="26"/>
      <c r="H87" s="26"/>
      <c r="I87" s="26"/>
      <c r="J87" s="26"/>
      <c r="K87" s="26"/>
      <c r="L87" s="26"/>
      <c r="M87" s="26"/>
      <c r="N87" s="26"/>
      <c r="P87" s="1" t="s">
        <v>102</v>
      </c>
    </row>
    <row r="88" spans="2:16" ht="15.5" x14ac:dyDescent="0.35">
      <c r="B88" s="13"/>
      <c r="C88" s="26"/>
      <c r="D88" s="26"/>
      <c r="E88" s="26"/>
      <c r="F88" s="26"/>
      <c r="G88" s="26"/>
      <c r="H88" s="26"/>
      <c r="I88" s="26"/>
      <c r="J88" s="26"/>
      <c r="K88" s="26"/>
      <c r="L88" s="26"/>
      <c r="M88" s="26"/>
      <c r="N88" s="26"/>
      <c r="P88" s="1" t="s">
        <v>103</v>
      </c>
    </row>
    <row r="89" spans="2:16" ht="15.5" x14ac:dyDescent="0.35">
      <c r="B89" s="13"/>
      <c r="C89" s="26"/>
      <c r="D89" s="26"/>
      <c r="E89" s="26"/>
      <c r="F89" s="26"/>
      <c r="G89" s="26"/>
      <c r="H89" s="26"/>
      <c r="I89" s="26"/>
      <c r="J89" s="26"/>
      <c r="K89" s="26"/>
      <c r="L89" s="26"/>
      <c r="M89" s="26"/>
      <c r="N89" s="26"/>
      <c r="P89" s="1" t="s">
        <v>104</v>
      </c>
    </row>
    <row r="90" spans="2:16" ht="15.5" x14ac:dyDescent="0.35">
      <c r="B90" s="13"/>
      <c r="C90" s="26"/>
      <c r="D90" s="26"/>
      <c r="E90" s="26"/>
      <c r="F90" s="26"/>
      <c r="G90" s="26"/>
      <c r="H90" s="26"/>
      <c r="I90" s="26"/>
      <c r="J90" s="26"/>
      <c r="K90" s="26"/>
      <c r="L90" s="26"/>
      <c r="M90" s="26"/>
      <c r="N90" s="26"/>
      <c r="P90" s="1" t="s">
        <v>105</v>
      </c>
    </row>
    <row r="91" spans="2:16" ht="15.5" x14ac:dyDescent="0.35">
      <c r="B91" s="13"/>
      <c r="C91" s="26"/>
      <c r="D91" s="26"/>
      <c r="E91" s="26"/>
      <c r="F91" s="26"/>
      <c r="G91" s="26"/>
      <c r="H91" s="26"/>
      <c r="I91" s="26"/>
      <c r="J91" s="26"/>
      <c r="K91" s="26"/>
      <c r="L91" s="26"/>
      <c r="M91" s="26"/>
      <c r="N91" s="26"/>
      <c r="P91" s="1" t="s">
        <v>106</v>
      </c>
    </row>
    <row r="92" spans="2:16" ht="15.5" x14ac:dyDescent="0.35">
      <c r="B92" s="13"/>
      <c r="C92" s="26"/>
      <c r="D92" s="26"/>
      <c r="E92" s="26"/>
      <c r="F92" s="26"/>
      <c r="G92" s="26"/>
      <c r="H92" s="26"/>
      <c r="I92" s="26"/>
      <c r="J92" s="26"/>
      <c r="K92" s="26"/>
      <c r="L92" s="26"/>
      <c r="M92" s="26"/>
      <c r="N92" s="26"/>
      <c r="P92" s="1" t="s">
        <v>107</v>
      </c>
    </row>
    <row r="93" spans="2:16" ht="15.5" x14ac:dyDescent="0.35">
      <c r="B93" s="13"/>
      <c r="C93" s="26"/>
      <c r="D93" s="26"/>
      <c r="E93" s="26"/>
      <c r="F93" s="26"/>
      <c r="G93" s="26"/>
      <c r="H93" s="26"/>
      <c r="I93" s="26"/>
      <c r="J93" s="26"/>
      <c r="K93" s="26"/>
      <c r="L93" s="26"/>
      <c r="M93" s="26"/>
      <c r="N93" s="26"/>
    </row>
    <row r="94" spans="2:16" ht="15.5" x14ac:dyDescent="0.35">
      <c r="B94" s="13"/>
      <c r="C94" s="26"/>
      <c r="D94" s="26"/>
      <c r="E94" s="26"/>
      <c r="F94" s="26"/>
      <c r="G94" s="26"/>
      <c r="H94" s="26"/>
      <c r="I94" s="26"/>
      <c r="J94" s="26"/>
      <c r="K94" s="26"/>
      <c r="L94" s="26"/>
      <c r="M94" s="26"/>
      <c r="N94" s="26"/>
      <c r="P94" s="1" t="s">
        <v>111</v>
      </c>
    </row>
    <row r="95" spans="2:16" ht="15.5" x14ac:dyDescent="0.35">
      <c r="B95" s="13"/>
      <c r="C95" s="26"/>
      <c r="D95" s="26"/>
      <c r="E95" s="26"/>
      <c r="F95" s="26"/>
      <c r="G95" s="26"/>
      <c r="H95" s="26"/>
      <c r="I95" s="26"/>
      <c r="J95" s="26"/>
      <c r="K95" s="26"/>
      <c r="L95" s="26"/>
      <c r="M95" s="26"/>
      <c r="N95" s="26"/>
      <c r="P95" s="1" t="s">
        <v>112</v>
      </c>
    </row>
    <row r="96" spans="2:16" ht="15.5" x14ac:dyDescent="0.35">
      <c r="B96" s="13"/>
      <c r="C96" s="26"/>
      <c r="D96" s="26"/>
      <c r="E96" s="26"/>
      <c r="F96" s="26"/>
      <c r="G96" s="26"/>
      <c r="H96" s="26"/>
      <c r="I96" s="26"/>
      <c r="J96" s="26"/>
      <c r="K96" s="26"/>
      <c r="L96" s="26"/>
      <c r="M96" s="26"/>
      <c r="N96" s="26"/>
      <c r="P96" s="1" t="s">
        <v>113</v>
      </c>
    </row>
    <row r="97" spans="2:16" ht="15.5" x14ac:dyDescent="0.35">
      <c r="B97" s="13"/>
      <c r="C97" s="26"/>
      <c r="D97" s="26"/>
      <c r="E97" s="26"/>
      <c r="F97" s="26"/>
      <c r="G97" s="26"/>
      <c r="H97" s="26"/>
      <c r="I97" s="26"/>
      <c r="J97" s="26"/>
      <c r="K97" s="26"/>
      <c r="L97" s="26"/>
      <c r="M97" s="26"/>
      <c r="N97" s="26"/>
      <c r="P97" s="1" t="s">
        <v>114</v>
      </c>
    </row>
    <row r="98" spans="2:16" ht="15.5" x14ac:dyDescent="0.35">
      <c r="B98" s="13"/>
      <c r="C98" s="26"/>
      <c r="D98" s="26"/>
      <c r="E98" s="26"/>
      <c r="F98" s="26"/>
      <c r="G98" s="26"/>
      <c r="H98" s="26"/>
      <c r="I98" s="26"/>
      <c r="J98" s="26"/>
      <c r="K98" s="26"/>
      <c r="L98" s="26"/>
      <c r="M98" s="26"/>
      <c r="N98" s="26"/>
      <c r="P98" s="1" t="s">
        <v>115</v>
      </c>
    </row>
    <row r="99" spans="2:16" ht="15.5" x14ac:dyDescent="0.35">
      <c r="B99" s="13"/>
      <c r="C99" s="26"/>
      <c r="D99" s="26"/>
      <c r="E99" s="26"/>
      <c r="F99" s="26"/>
      <c r="G99" s="26"/>
      <c r="H99" s="26"/>
      <c r="I99" s="26"/>
      <c r="J99" s="26"/>
      <c r="K99" s="26"/>
      <c r="L99" s="26"/>
      <c r="M99" s="26"/>
      <c r="N99" s="26"/>
      <c r="P99" s="1" t="s">
        <v>116</v>
      </c>
    </row>
    <row r="100" spans="2:16" x14ac:dyDescent="0.35">
      <c r="B100" s="26"/>
      <c r="C100" s="26"/>
      <c r="D100" s="26"/>
      <c r="E100" s="26"/>
      <c r="F100" s="26"/>
      <c r="G100" s="26"/>
      <c r="H100" s="26"/>
      <c r="I100" s="26"/>
      <c r="J100" s="26"/>
      <c r="K100" s="26"/>
      <c r="L100" s="26"/>
      <c r="M100" s="26"/>
      <c r="N100" s="26"/>
    </row>
    <row r="101" spans="2:16" x14ac:dyDescent="0.35">
      <c r="B101" s="26"/>
      <c r="C101" s="26"/>
      <c r="D101" s="26"/>
      <c r="E101" s="26"/>
      <c r="F101" s="26"/>
      <c r="G101" s="26"/>
      <c r="H101" s="26"/>
      <c r="I101" s="26"/>
      <c r="J101" s="26"/>
      <c r="K101" s="26"/>
      <c r="L101" s="26"/>
      <c r="M101" s="26"/>
      <c r="N101" s="26"/>
      <c r="P101" s="1" t="s">
        <v>123</v>
      </c>
    </row>
    <row r="102" spans="2:16" x14ac:dyDescent="0.35">
      <c r="B102" s="26"/>
      <c r="C102" s="26"/>
      <c r="D102" s="26"/>
      <c r="E102" s="26"/>
      <c r="F102" s="26"/>
      <c r="G102" s="26"/>
      <c r="H102" s="26"/>
      <c r="I102" s="26"/>
      <c r="J102" s="26"/>
      <c r="K102" s="26"/>
      <c r="L102" s="26"/>
      <c r="M102" s="26"/>
      <c r="N102" s="26"/>
      <c r="P102" s="1" t="s">
        <v>124</v>
      </c>
    </row>
    <row r="103" spans="2:16" x14ac:dyDescent="0.35">
      <c r="B103" s="26"/>
      <c r="C103" s="26"/>
      <c r="D103" s="26"/>
      <c r="E103" s="26"/>
      <c r="F103" s="26"/>
      <c r="G103" s="26"/>
      <c r="H103" s="26"/>
      <c r="I103" s="26"/>
      <c r="J103" s="26"/>
      <c r="K103" s="26"/>
      <c r="L103" s="26"/>
      <c r="M103" s="26"/>
      <c r="N103" s="26"/>
      <c r="P103" s="1" t="s">
        <v>125</v>
      </c>
    </row>
    <row r="104" spans="2:16" x14ac:dyDescent="0.35">
      <c r="B104" s="26"/>
      <c r="C104" s="26"/>
      <c r="D104" s="26"/>
      <c r="E104" s="26"/>
      <c r="F104" s="26"/>
      <c r="G104" s="26"/>
      <c r="H104" s="26"/>
      <c r="I104" s="26"/>
      <c r="J104" s="26"/>
      <c r="K104" s="26"/>
      <c r="L104" s="26"/>
      <c r="M104" s="26"/>
      <c r="N104" s="26"/>
      <c r="P104" s="1" t="s">
        <v>126</v>
      </c>
    </row>
    <row r="105" spans="2:16" x14ac:dyDescent="0.35">
      <c r="B105" s="26"/>
      <c r="C105" s="26"/>
      <c r="D105" s="26"/>
      <c r="E105" s="26"/>
      <c r="F105" s="26"/>
      <c r="G105" s="26"/>
      <c r="H105" s="26"/>
      <c r="I105" s="26"/>
      <c r="J105" s="26"/>
      <c r="K105" s="26"/>
      <c r="L105" s="26"/>
      <c r="M105" s="26"/>
      <c r="N105" s="26"/>
      <c r="P105" s="1" t="s">
        <v>127</v>
      </c>
    </row>
    <row r="106" spans="2:16" x14ac:dyDescent="0.35">
      <c r="B106" s="26"/>
      <c r="C106" s="26"/>
      <c r="D106" s="26"/>
      <c r="E106" s="26"/>
      <c r="F106" s="26"/>
      <c r="G106" s="26"/>
      <c r="H106" s="26"/>
      <c r="I106" s="26"/>
      <c r="J106" s="26"/>
      <c r="K106" s="26"/>
      <c r="L106" s="26"/>
      <c r="M106" s="26"/>
      <c r="N106" s="26"/>
      <c r="P106" s="1" t="s">
        <v>128</v>
      </c>
    </row>
    <row r="107" spans="2:16" x14ac:dyDescent="0.35">
      <c r="B107" s="26"/>
      <c r="C107" s="26"/>
      <c r="D107" s="26"/>
      <c r="E107" s="26"/>
      <c r="F107" s="26"/>
      <c r="G107" s="26"/>
      <c r="H107" s="26"/>
      <c r="I107" s="26"/>
      <c r="J107" s="26"/>
      <c r="K107" s="26"/>
      <c r="L107" s="26"/>
      <c r="M107" s="26"/>
      <c r="N107" s="26"/>
      <c r="P107" s="1" t="s">
        <v>129</v>
      </c>
    </row>
    <row r="108" spans="2:16" x14ac:dyDescent="0.35">
      <c r="B108" s="26"/>
      <c r="C108" s="26"/>
      <c r="D108" s="26"/>
      <c r="E108" s="26"/>
      <c r="F108" s="26"/>
      <c r="G108" s="26"/>
      <c r="H108" s="26"/>
      <c r="I108" s="26"/>
      <c r="J108" s="26"/>
      <c r="K108" s="26"/>
      <c r="L108" s="26"/>
      <c r="M108" s="26"/>
      <c r="N108" s="26"/>
    </row>
    <row r="109" spans="2:16" x14ac:dyDescent="0.35">
      <c r="B109" s="26"/>
      <c r="C109" s="26"/>
      <c r="D109" s="26"/>
      <c r="E109" s="26"/>
      <c r="F109" s="26"/>
      <c r="G109" s="26"/>
      <c r="H109" s="26"/>
      <c r="I109" s="26"/>
      <c r="J109" s="26"/>
      <c r="K109" s="26"/>
      <c r="L109" s="26"/>
      <c r="M109" s="26"/>
      <c r="N109" s="26"/>
      <c r="P109" s="1" t="s">
        <v>130</v>
      </c>
    </row>
    <row r="110" spans="2:16" x14ac:dyDescent="0.35">
      <c r="B110" s="26"/>
      <c r="C110" s="26"/>
      <c r="D110" s="26"/>
      <c r="E110" s="26"/>
      <c r="F110" s="26"/>
      <c r="G110" s="26"/>
      <c r="H110" s="26"/>
      <c r="I110" s="26"/>
      <c r="J110" s="26"/>
      <c r="K110" s="26"/>
      <c r="L110" s="26"/>
      <c r="M110" s="26"/>
      <c r="N110" s="26"/>
      <c r="P110" s="1" t="s">
        <v>131</v>
      </c>
    </row>
    <row r="111" spans="2:16" x14ac:dyDescent="0.35">
      <c r="B111" s="26"/>
      <c r="C111" s="26"/>
      <c r="D111" s="26"/>
      <c r="E111" s="26"/>
      <c r="F111" s="26"/>
      <c r="G111" s="26"/>
      <c r="H111" s="26"/>
      <c r="I111" s="26"/>
      <c r="J111" s="26"/>
      <c r="K111" s="26"/>
      <c r="L111" s="26"/>
      <c r="M111" s="26"/>
      <c r="N111" s="26"/>
      <c r="P111" s="1" t="s">
        <v>132</v>
      </c>
    </row>
    <row r="112" spans="2:16" x14ac:dyDescent="0.35">
      <c r="B112" s="26"/>
      <c r="C112" s="26"/>
      <c r="D112" s="26"/>
      <c r="E112" s="26"/>
      <c r="F112" s="26"/>
      <c r="G112" s="26"/>
      <c r="H112" s="26"/>
      <c r="I112" s="26"/>
      <c r="J112" s="26"/>
      <c r="K112" s="26"/>
      <c r="L112" s="26"/>
      <c r="M112" s="26"/>
      <c r="N112" s="26"/>
      <c r="P112" s="1" t="s">
        <v>133</v>
      </c>
    </row>
    <row r="113" spans="2:16" x14ac:dyDescent="0.35">
      <c r="B113" s="26"/>
      <c r="C113" s="26"/>
      <c r="D113" s="26"/>
      <c r="E113" s="26"/>
      <c r="F113" s="26"/>
      <c r="G113" s="26"/>
      <c r="H113" s="26"/>
      <c r="I113" s="26"/>
      <c r="J113" s="26"/>
      <c r="K113" s="26"/>
      <c r="L113" s="26"/>
      <c r="M113" s="26"/>
      <c r="N113" s="26"/>
      <c r="P113" s="1" t="s">
        <v>134</v>
      </c>
    </row>
    <row r="114" spans="2:16" x14ac:dyDescent="0.35">
      <c r="B114" s="26"/>
      <c r="C114" s="26"/>
      <c r="D114" s="26"/>
      <c r="E114" s="26"/>
      <c r="F114" s="26"/>
      <c r="G114" s="26"/>
      <c r="H114" s="26"/>
      <c r="I114" s="26"/>
      <c r="J114" s="26"/>
      <c r="K114" s="26"/>
      <c r="L114" s="26"/>
      <c r="M114" s="26"/>
      <c r="N114" s="26"/>
      <c r="P114" s="1" t="s">
        <v>135</v>
      </c>
    </row>
    <row r="115" spans="2:16" x14ac:dyDescent="0.35">
      <c r="B115" s="26"/>
      <c r="C115" s="26"/>
      <c r="D115" s="26"/>
      <c r="E115" s="26"/>
      <c r="F115" s="26"/>
      <c r="G115" s="26"/>
      <c r="H115" s="26"/>
      <c r="I115" s="26"/>
      <c r="J115" s="26"/>
      <c r="K115" s="26"/>
      <c r="L115" s="26"/>
      <c r="M115" s="26"/>
      <c r="N115" s="26"/>
      <c r="P115" s="1" t="s">
        <v>69</v>
      </c>
    </row>
    <row r="116" spans="2:16" x14ac:dyDescent="0.35">
      <c r="B116" s="26"/>
      <c r="C116" s="26"/>
      <c r="D116" s="26"/>
      <c r="E116" s="26"/>
      <c r="F116" s="26"/>
      <c r="G116" s="26"/>
      <c r="H116" s="26"/>
      <c r="I116" s="26"/>
      <c r="J116" s="26"/>
      <c r="K116" s="26"/>
      <c r="L116" s="26"/>
      <c r="M116" s="26"/>
      <c r="N116" s="26"/>
    </row>
    <row r="117" spans="2:16" x14ac:dyDescent="0.35">
      <c r="B117" s="26"/>
      <c r="C117" s="26"/>
      <c r="D117" s="26"/>
      <c r="E117" s="26"/>
      <c r="F117" s="26"/>
      <c r="G117" s="26"/>
      <c r="H117" s="26"/>
      <c r="I117" s="26"/>
      <c r="J117" s="26"/>
      <c r="K117" s="26"/>
      <c r="L117" s="26"/>
      <c r="M117" s="26"/>
      <c r="N117" s="26"/>
      <c r="P117" s="1" t="s">
        <v>142</v>
      </c>
    </row>
    <row r="118" spans="2:16" x14ac:dyDescent="0.35">
      <c r="B118" s="26"/>
      <c r="C118" s="26"/>
      <c r="D118" s="26"/>
      <c r="E118" s="26"/>
      <c r="F118" s="26"/>
      <c r="G118" s="26"/>
      <c r="H118" s="26"/>
      <c r="I118" s="26"/>
      <c r="J118" s="26"/>
      <c r="K118" s="26"/>
      <c r="L118" s="26"/>
      <c r="M118" s="26"/>
      <c r="N118" s="26"/>
      <c r="P118" s="1" t="s">
        <v>138</v>
      </c>
    </row>
    <row r="119" spans="2:16" x14ac:dyDescent="0.35">
      <c r="B119" s="26"/>
      <c r="C119" s="26"/>
      <c r="D119" s="26"/>
      <c r="E119" s="26"/>
      <c r="F119" s="26"/>
      <c r="G119" s="26"/>
      <c r="H119" s="26"/>
      <c r="I119" s="26"/>
      <c r="J119" s="26"/>
      <c r="K119" s="26"/>
      <c r="L119" s="26"/>
      <c r="M119" s="26"/>
      <c r="N119" s="26"/>
      <c r="P119" s="1" t="s">
        <v>139</v>
      </c>
    </row>
    <row r="120" spans="2:16" x14ac:dyDescent="0.35">
      <c r="B120" s="26"/>
      <c r="C120" s="26"/>
      <c r="D120" s="26"/>
      <c r="E120" s="26"/>
      <c r="F120" s="26"/>
      <c r="G120" s="26"/>
      <c r="H120" s="26"/>
      <c r="I120" s="26"/>
      <c r="J120" s="26"/>
      <c r="K120" s="26"/>
      <c r="L120" s="26"/>
      <c r="M120" s="26"/>
      <c r="N120" s="26"/>
      <c r="P120" s="1" t="s">
        <v>140</v>
      </c>
    </row>
    <row r="121" spans="2:16" x14ac:dyDescent="0.35">
      <c r="B121" s="26"/>
      <c r="C121" s="26"/>
      <c r="D121" s="26"/>
      <c r="E121" s="26"/>
      <c r="F121" s="26"/>
      <c r="G121" s="26"/>
      <c r="H121" s="26"/>
      <c r="I121" s="26"/>
      <c r="J121" s="26"/>
      <c r="K121" s="26"/>
      <c r="L121" s="26"/>
      <c r="M121" s="26"/>
      <c r="N121" s="26"/>
      <c r="P121" s="1" t="s">
        <v>141</v>
      </c>
    </row>
    <row r="122" spans="2:16" x14ac:dyDescent="0.35">
      <c r="B122" s="26"/>
      <c r="C122" s="26"/>
      <c r="D122" s="26"/>
      <c r="E122" s="26"/>
      <c r="F122" s="26"/>
      <c r="G122" s="26"/>
      <c r="H122" s="26"/>
      <c r="I122" s="26"/>
      <c r="J122" s="26"/>
      <c r="K122" s="26"/>
      <c r="L122" s="26"/>
      <c r="M122" s="26"/>
      <c r="N122" s="26"/>
    </row>
    <row r="123" spans="2:16" x14ac:dyDescent="0.35">
      <c r="B123" s="26"/>
      <c r="C123" s="26"/>
      <c r="D123" s="26"/>
      <c r="E123" s="26"/>
      <c r="F123" s="26"/>
      <c r="G123" s="26"/>
      <c r="H123" s="26"/>
      <c r="I123" s="26"/>
      <c r="J123" s="26"/>
      <c r="K123" s="26"/>
      <c r="L123" s="26"/>
      <c r="M123" s="26"/>
      <c r="N123" s="26"/>
      <c r="P123" s="1" t="s">
        <v>144</v>
      </c>
    </row>
    <row r="124" spans="2:16" x14ac:dyDescent="0.35">
      <c r="B124" s="26"/>
      <c r="C124" s="26"/>
      <c r="D124" s="26"/>
      <c r="E124" s="26"/>
      <c r="F124" s="26"/>
      <c r="G124" s="26"/>
      <c r="H124" s="26"/>
      <c r="I124" s="26"/>
      <c r="J124" s="26"/>
      <c r="K124" s="26"/>
      <c r="L124" s="26"/>
      <c r="M124" s="26"/>
      <c r="N124" s="26"/>
      <c r="P124" s="1" t="s">
        <v>145</v>
      </c>
    </row>
    <row r="125" spans="2:16" x14ac:dyDescent="0.35">
      <c r="B125" s="26"/>
      <c r="C125" s="26"/>
      <c r="D125" s="26"/>
      <c r="E125" s="26"/>
      <c r="F125" s="26"/>
      <c r="G125" s="26"/>
      <c r="H125" s="26"/>
      <c r="I125" s="26"/>
      <c r="J125" s="26"/>
      <c r="K125" s="26"/>
      <c r="L125" s="26"/>
      <c r="M125" s="26"/>
      <c r="N125" s="26"/>
      <c r="P125" s="1" t="s">
        <v>146</v>
      </c>
    </row>
    <row r="126" spans="2:16" x14ac:dyDescent="0.35">
      <c r="B126" s="26"/>
      <c r="C126" s="26"/>
      <c r="D126" s="26"/>
      <c r="E126" s="26"/>
      <c r="F126" s="26"/>
      <c r="G126" s="26"/>
      <c r="H126" s="26"/>
      <c r="I126" s="26"/>
      <c r="J126" s="26"/>
      <c r="K126" s="26"/>
      <c r="L126" s="26"/>
      <c r="M126" s="26"/>
      <c r="N126" s="26"/>
      <c r="P126" s="1" t="s">
        <v>147</v>
      </c>
    </row>
    <row r="127" spans="2:16" x14ac:dyDescent="0.35">
      <c r="B127" s="26"/>
      <c r="C127" s="26"/>
      <c r="D127" s="26"/>
      <c r="E127" s="26"/>
      <c r="F127" s="26"/>
      <c r="G127" s="26"/>
      <c r="H127" s="26"/>
      <c r="I127" s="26"/>
      <c r="J127" s="26"/>
      <c r="K127" s="26"/>
      <c r="L127" s="26"/>
      <c r="M127" s="26"/>
      <c r="N127" s="26"/>
      <c r="P127" s="1" t="s">
        <v>148</v>
      </c>
    </row>
    <row r="128" spans="2:16" x14ac:dyDescent="0.35">
      <c r="B128" s="26"/>
      <c r="C128" s="26"/>
      <c r="D128" s="26"/>
      <c r="E128" s="26"/>
      <c r="F128" s="26"/>
      <c r="G128" s="26"/>
      <c r="H128" s="26"/>
      <c r="I128" s="26"/>
      <c r="J128" s="26"/>
      <c r="K128" s="26"/>
      <c r="L128" s="26"/>
      <c r="M128" s="26"/>
      <c r="N128" s="26"/>
      <c r="P128" s="1" t="s">
        <v>149</v>
      </c>
    </row>
    <row r="129" spans="2:16" x14ac:dyDescent="0.35">
      <c r="B129" s="26"/>
      <c r="C129" s="26"/>
      <c r="D129" s="26"/>
      <c r="E129" s="26"/>
      <c r="F129" s="26"/>
      <c r="G129" s="26"/>
      <c r="H129" s="26"/>
      <c r="I129" s="26"/>
      <c r="J129" s="26"/>
      <c r="K129" s="26"/>
      <c r="L129" s="26"/>
      <c r="M129" s="26"/>
      <c r="N129" s="26"/>
      <c r="P129" s="1" t="s">
        <v>150</v>
      </c>
    </row>
    <row r="130" spans="2:16" x14ac:dyDescent="0.35">
      <c r="B130" s="26"/>
      <c r="C130" s="26"/>
      <c r="D130" s="26"/>
      <c r="E130" s="26"/>
      <c r="F130" s="26"/>
      <c r="G130" s="26"/>
      <c r="H130" s="26"/>
      <c r="I130" s="26"/>
      <c r="J130" s="26"/>
      <c r="K130" s="26"/>
      <c r="L130" s="26"/>
      <c r="M130" s="26"/>
      <c r="N130" s="26"/>
    </row>
    <row r="131" spans="2:16" x14ac:dyDescent="0.35">
      <c r="B131" s="26"/>
      <c r="C131" s="26"/>
      <c r="D131" s="26"/>
      <c r="E131" s="26"/>
      <c r="F131" s="26"/>
      <c r="G131" s="26"/>
      <c r="H131" s="26"/>
      <c r="I131" s="26"/>
      <c r="J131" s="26"/>
      <c r="K131" s="26"/>
      <c r="L131" s="26"/>
      <c r="M131" s="26"/>
      <c r="N131" s="26"/>
      <c r="P131" s="1" t="s">
        <v>152</v>
      </c>
    </row>
    <row r="132" spans="2:16" x14ac:dyDescent="0.35">
      <c r="B132" s="26"/>
      <c r="C132" s="26"/>
      <c r="D132" s="26"/>
      <c r="E132" s="26"/>
      <c r="F132" s="26"/>
      <c r="G132" s="26"/>
      <c r="H132" s="26"/>
      <c r="I132" s="26"/>
      <c r="J132" s="26"/>
      <c r="K132" s="26"/>
      <c r="L132" s="26"/>
      <c r="M132" s="26"/>
      <c r="N132" s="26"/>
      <c r="P132" s="1" t="s">
        <v>153</v>
      </c>
    </row>
    <row r="133" spans="2:16" x14ac:dyDescent="0.35">
      <c r="B133" s="26"/>
      <c r="C133" s="26"/>
      <c r="D133" s="26"/>
      <c r="E133" s="26"/>
      <c r="F133" s="26"/>
      <c r="G133" s="26"/>
      <c r="H133" s="26"/>
      <c r="I133" s="26"/>
      <c r="J133" s="26"/>
      <c r="K133" s="26"/>
      <c r="L133" s="26"/>
      <c r="M133" s="26"/>
      <c r="N133" s="26"/>
      <c r="P133" s="1" t="s">
        <v>154</v>
      </c>
    </row>
    <row r="134" spans="2:16" x14ac:dyDescent="0.35">
      <c r="B134" s="26"/>
      <c r="C134" s="26"/>
      <c r="D134" s="26"/>
      <c r="E134" s="26"/>
      <c r="F134" s="26"/>
      <c r="G134" s="26"/>
      <c r="H134" s="26"/>
      <c r="I134" s="26"/>
      <c r="J134" s="26"/>
      <c r="K134" s="26"/>
      <c r="L134" s="26"/>
      <c r="M134" s="26"/>
      <c r="N134" s="26"/>
      <c r="P134" s="20" t="s">
        <v>155</v>
      </c>
    </row>
    <row r="135" spans="2:16" x14ac:dyDescent="0.35">
      <c r="B135" s="26"/>
      <c r="C135" s="26"/>
      <c r="D135" s="26"/>
      <c r="E135" s="26"/>
      <c r="F135" s="26"/>
      <c r="G135" s="26"/>
      <c r="H135" s="26"/>
      <c r="I135" s="26"/>
      <c r="J135" s="26"/>
      <c r="K135" s="26"/>
      <c r="L135" s="26"/>
      <c r="M135" s="26"/>
      <c r="N135" s="26"/>
      <c r="P135" s="20" t="s">
        <v>156</v>
      </c>
    </row>
    <row r="136" spans="2:16" x14ac:dyDescent="0.35">
      <c r="B136" s="26"/>
      <c r="C136" s="26"/>
      <c r="D136" s="26"/>
      <c r="E136" s="26"/>
      <c r="F136" s="26"/>
      <c r="G136" s="26"/>
      <c r="H136" s="26"/>
      <c r="I136" s="26"/>
      <c r="J136" s="26"/>
      <c r="K136" s="26"/>
      <c r="L136" s="26"/>
      <c r="M136" s="26"/>
      <c r="N136" s="26"/>
      <c r="P136" s="1" t="s">
        <v>157</v>
      </c>
    </row>
    <row r="137" spans="2:16" x14ac:dyDescent="0.35">
      <c r="B137" s="26"/>
      <c r="C137" s="26"/>
      <c r="D137" s="26"/>
      <c r="E137" s="26"/>
      <c r="F137" s="26"/>
      <c r="G137" s="26"/>
      <c r="H137" s="26"/>
      <c r="I137" s="26"/>
      <c r="J137" s="26"/>
      <c r="K137" s="26"/>
      <c r="L137" s="26"/>
      <c r="M137" s="26"/>
      <c r="N137" s="26"/>
      <c r="P137" s="1" t="s">
        <v>158</v>
      </c>
    </row>
    <row r="138" spans="2:16" x14ac:dyDescent="0.35">
      <c r="B138" s="26"/>
      <c r="C138" s="26"/>
      <c r="D138" s="26"/>
      <c r="E138" s="26"/>
      <c r="F138" s="26"/>
      <c r="G138" s="26"/>
      <c r="H138" s="26"/>
      <c r="I138" s="26"/>
      <c r="J138" s="26"/>
      <c r="K138" s="26"/>
      <c r="L138" s="26"/>
      <c r="M138" s="26"/>
      <c r="N138" s="26"/>
    </row>
    <row r="139" spans="2:16" x14ac:dyDescent="0.35">
      <c r="B139" s="26"/>
      <c r="C139" s="26"/>
      <c r="D139" s="26"/>
      <c r="E139" s="26"/>
      <c r="F139" s="26"/>
      <c r="G139" s="26"/>
      <c r="H139" s="26"/>
      <c r="I139" s="26"/>
      <c r="J139" s="26"/>
      <c r="K139" s="26"/>
      <c r="L139" s="26"/>
      <c r="M139" s="26"/>
      <c r="N139" s="26"/>
      <c r="P139" t="s">
        <v>181</v>
      </c>
    </row>
    <row r="140" spans="2:16" x14ac:dyDescent="0.35">
      <c r="B140" s="26"/>
      <c r="C140" s="26"/>
      <c r="D140" s="26"/>
      <c r="E140" s="26"/>
      <c r="F140" s="26"/>
      <c r="G140" s="26"/>
      <c r="H140" s="26"/>
      <c r="I140" s="26"/>
      <c r="J140" s="26"/>
      <c r="K140" s="26"/>
      <c r="L140" s="26"/>
      <c r="M140" s="26"/>
      <c r="N140" s="26"/>
      <c r="P140" s="1" t="s">
        <v>162</v>
      </c>
    </row>
    <row r="141" spans="2:16" x14ac:dyDescent="0.35">
      <c r="B141" s="26"/>
      <c r="C141" s="26"/>
      <c r="D141" s="26"/>
      <c r="E141" s="26"/>
      <c r="F141" s="26"/>
      <c r="G141" s="26"/>
      <c r="H141" s="26"/>
      <c r="I141" s="26"/>
      <c r="J141" s="26"/>
      <c r="K141" s="26"/>
      <c r="L141" s="26"/>
      <c r="M141" s="26"/>
      <c r="N141" s="26"/>
      <c r="P141" s="1" t="s">
        <v>163</v>
      </c>
    </row>
    <row r="142" spans="2:16" x14ac:dyDescent="0.35">
      <c r="B142" s="26"/>
      <c r="C142" s="26"/>
      <c r="D142" s="26"/>
      <c r="E142" s="26"/>
      <c r="F142" s="26"/>
      <c r="G142" s="26"/>
      <c r="H142" s="26"/>
      <c r="I142" s="26"/>
      <c r="J142" s="26"/>
      <c r="K142" s="26"/>
      <c r="L142" s="26"/>
      <c r="M142" s="26"/>
      <c r="N142" s="26"/>
      <c r="P142" s="1" t="s">
        <v>164</v>
      </c>
    </row>
    <row r="143" spans="2:16" x14ac:dyDescent="0.35">
      <c r="B143" s="26"/>
      <c r="C143" s="26"/>
      <c r="D143" s="26"/>
      <c r="E143" s="26"/>
      <c r="F143" s="26"/>
      <c r="G143" s="26"/>
      <c r="H143" s="26"/>
      <c r="I143" s="26"/>
      <c r="J143" s="26"/>
      <c r="K143" s="26"/>
      <c r="L143" s="26"/>
      <c r="M143" s="26"/>
      <c r="N143" s="26"/>
      <c r="P143" s="1" t="s">
        <v>165</v>
      </c>
    </row>
    <row r="144" spans="2:16" x14ac:dyDescent="0.35">
      <c r="B144" s="26"/>
      <c r="C144" s="26"/>
      <c r="D144" s="26"/>
      <c r="E144" s="26"/>
      <c r="F144" s="26"/>
      <c r="G144" s="26"/>
      <c r="H144" s="26"/>
      <c r="I144" s="26"/>
      <c r="J144" s="26"/>
      <c r="K144" s="26"/>
      <c r="L144" s="26"/>
      <c r="M144" s="26"/>
      <c r="N144" s="26"/>
      <c r="P144" s="1" t="s">
        <v>94</v>
      </c>
    </row>
    <row r="145" spans="2:16" x14ac:dyDescent="0.35">
      <c r="B145" s="26"/>
      <c r="C145" s="26"/>
      <c r="D145" s="26"/>
      <c r="E145" s="26"/>
      <c r="F145" s="26"/>
      <c r="G145" s="26"/>
      <c r="H145" s="26"/>
      <c r="I145" s="26"/>
      <c r="J145" s="26"/>
      <c r="K145" s="26"/>
      <c r="L145" s="26"/>
      <c r="M145" s="26"/>
      <c r="N145" s="26"/>
      <c r="P145" s="1" t="s">
        <v>166</v>
      </c>
    </row>
    <row r="146" spans="2:16" x14ac:dyDescent="0.35">
      <c r="B146" s="26"/>
      <c r="C146" s="26"/>
      <c r="D146" s="26"/>
      <c r="E146" s="26"/>
      <c r="F146" s="26"/>
      <c r="G146" s="26"/>
      <c r="H146" s="26"/>
      <c r="I146" s="26"/>
      <c r="J146" s="26"/>
      <c r="K146" s="26"/>
      <c r="L146" s="26"/>
      <c r="M146" s="26"/>
      <c r="N146" s="26"/>
      <c r="P146" s="1" t="s">
        <v>167</v>
      </c>
    </row>
    <row r="147" spans="2:16" x14ac:dyDescent="0.35">
      <c r="B147" s="26"/>
      <c r="C147" s="26"/>
      <c r="D147" s="26"/>
      <c r="E147" s="26"/>
      <c r="F147" s="26"/>
      <c r="G147" s="26"/>
      <c r="H147" s="26"/>
      <c r="I147" s="26"/>
      <c r="J147" s="26"/>
      <c r="K147" s="26"/>
      <c r="L147" s="26"/>
      <c r="M147" s="26"/>
      <c r="N147" s="26"/>
      <c r="P147" s="1" t="s">
        <v>168</v>
      </c>
    </row>
    <row r="148" spans="2:16" x14ac:dyDescent="0.35">
      <c r="B148" s="26"/>
      <c r="C148" s="26"/>
      <c r="D148" s="26"/>
      <c r="E148" s="26"/>
      <c r="F148" s="26"/>
      <c r="G148" s="26"/>
      <c r="H148" s="26"/>
      <c r="I148" s="26"/>
      <c r="J148" s="26"/>
      <c r="K148" s="26"/>
      <c r="L148" s="26"/>
      <c r="M148" s="26"/>
      <c r="N148" s="26"/>
    </row>
    <row r="149" spans="2:16" x14ac:dyDescent="0.35">
      <c r="B149" s="26"/>
      <c r="C149" s="26"/>
      <c r="D149" s="26"/>
      <c r="E149" s="26"/>
      <c r="F149" s="26"/>
      <c r="G149" s="26"/>
      <c r="H149" s="26"/>
      <c r="I149" s="26"/>
      <c r="J149" s="26"/>
      <c r="K149" s="26"/>
      <c r="L149" s="26"/>
      <c r="M149" s="26"/>
      <c r="N149" s="26"/>
      <c r="P149" s="1" t="s">
        <v>174</v>
      </c>
    </row>
    <row r="150" spans="2:16" x14ac:dyDescent="0.35">
      <c r="B150" s="26"/>
      <c r="C150" s="26"/>
      <c r="D150" s="26"/>
      <c r="E150" s="26"/>
      <c r="F150" s="26"/>
      <c r="G150" s="26"/>
      <c r="H150" s="26"/>
      <c r="I150" s="26"/>
      <c r="J150" s="26"/>
      <c r="K150" s="26"/>
      <c r="L150" s="26"/>
      <c r="M150" s="26"/>
      <c r="N150" s="26"/>
      <c r="P150" s="1" t="s">
        <v>175</v>
      </c>
    </row>
    <row r="151" spans="2:16" x14ac:dyDescent="0.35">
      <c r="B151" s="26"/>
      <c r="C151" s="26"/>
      <c r="D151" s="26"/>
      <c r="E151" s="26"/>
      <c r="F151" s="26"/>
      <c r="G151" s="26"/>
      <c r="H151" s="26"/>
      <c r="I151" s="26"/>
      <c r="J151" s="26"/>
      <c r="K151" s="26"/>
      <c r="L151" s="26"/>
      <c r="M151" s="26"/>
      <c r="N151" s="26"/>
      <c r="P151" s="1" t="s">
        <v>176</v>
      </c>
    </row>
    <row r="152" spans="2:16" x14ac:dyDescent="0.35">
      <c r="B152" s="26"/>
      <c r="C152" s="26"/>
      <c r="D152" s="26"/>
      <c r="E152" s="26"/>
      <c r="F152" s="26"/>
      <c r="G152" s="26"/>
      <c r="H152" s="26"/>
      <c r="I152" s="26"/>
      <c r="J152" s="26"/>
      <c r="K152" s="26"/>
      <c r="L152" s="26"/>
      <c r="M152" s="26"/>
      <c r="N152" s="26"/>
      <c r="P152" s="1" t="s">
        <v>177</v>
      </c>
    </row>
    <row r="153" spans="2:16" x14ac:dyDescent="0.35">
      <c r="B153" s="26"/>
      <c r="C153" s="26"/>
      <c r="D153" s="26"/>
      <c r="E153" s="26"/>
      <c r="F153" s="26"/>
      <c r="G153" s="26"/>
      <c r="H153" s="26"/>
      <c r="I153" s="26"/>
      <c r="J153" s="26"/>
      <c r="K153" s="26"/>
      <c r="L153" s="26"/>
      <c r="M153" s="26"/>
      <c r="N153" s="26"/>
      <c r="P153" s="1" t="s">
        <v>178</v>
      </c>
    </row>
    <row r="154" spans="2:16" x14ac:dyDescent="0.35">
      <c r="B154" s="26"/>
      <c r="C154" s="26"/>
      <c r="D154" s="26"/>
      <c r="E154" s="26"/>
      <c r="F154" s="26"/>
      <c r="G154" s="26"/>
      <c r="H154" s="26"/>
      <c r="I154" s="26"/>
      <c r="J154" s="26"/>
      <c r="K154" s="26"/>
      <c r="L154" s="26"/>
      <c r="M154" s="26"/>
      <c r="N154" s="26"/>
      <c r="P154" s="1" t="s">
        <v>179</v>
      </c>
    </row>
    <row r="155" spans="2:16" x14ac:dyDescent="0.35">
      <c r="B155" s="26"/>
      <c r="C155" s="26"/>
      <c r="D155" s="26"/>
      <c r="E155" s="26"/>
      <c r="F155" s="26"/>
      <c r="G155" s="26"/>
      <c r="H155" s="26"/>
      <c r="I155" s="26"/>
      <c r="J155" s="26"/>
      <c r="K155" s="26"/>
      <c r="L155" s="26"/>
      <c r="M155" s="26"/>
      <c r="N155" s="26"/>
      <c r="P155" s="1" t="s">
        <v>69</v>
      </c>
    </row>
    <row r="156" spans="2:16" x14ac:dyDescent="0.35">
      <c r="B156" s="26"/>
      <c r="C156" s="26"/>
      <c r="D156" s="26"/>
      <c r="E156" s="26"/>
      <c r="F156" s="26"/>
      <c r="G156" s="26"/>
      <c r="H156" s="26"/>
      <c r="I156" s="26"/>
      <c r="J156" s="26"/>
      <c r="K156" s="26"/>
      <c r="L156" s="26"/>
      <c r="M156" s="26"/>
      <c r="N156" s="26"/>
      <c r="P156" s="1" t="s">
        <v>180</v>
      </c>
    </row>
    <row r="157" spans="2:16" x14ac:dyDescent="0.35">
      <c r="B157" s="26"/>
      <c r="C157" s="26"/>
      <c r="D157" s="26"/>
      <c r="E157" s="26"/>
      <c r="F157" s="26"/>
      <c r="G157" s="26"/>
      <c r="H157" s="26"/>
      <c r="I157" s="26"/>
      <c r="J157" s="26"/>
      <c r="K157" s="26"/>
      <c r="L157" s="26"/>
      <c r="M157" s="26"/>
      <c r="N157" s="26"/>
    </row>
    <row r="158" spans="2:16" x14ac:dyDescent="0.35">
      <c r="B158" s="26"/>
      <c r="C158" s="26"/>
      <c r="D158" s="26"/>
      <c r="E158" s="26"/>
      <c r="F158" s="26"/>
      <c r="G158" s="26"/>
      <c r="H158" s="26"/>
      <c r="I158" s="26"/>
      <c r="J158" s="26"/>
      <c r="K158" s="26"/>
      <c r="L158" s="26"/>
      <c r="M158" s="26"/>
      <c r="N158" s="26"/>
      <c r="P158" s="1" t="s">
        <v>186</v>
      </c>
    </row>
    <row r="159" spans="2:16" x14ac:dyDescent="0.35">
      <c r="B159" s="26"/>
      <c r="C159" s="26"/>
      <c r="D159" s="26"/>
      <c r="E159" s="26"/>
      <c r="F159" s="26"/>
      <c r="G159" s="26"/>
      <c r="H159" s="26"/>
      <c r="I159" s="26"/>
      <c r="J159" s="26"/>
      <c r="K159" s="26"/>
      <c r="L159" s="26"/>
      <c r="M159" s="26"/>
      <c r="N159" s="26"/>
      <c r="P159" s="1" t="s">
        <v>187</v>
      </c>
    </row>
    <row r="160" spans="2:16" x14ac:dyDescent="0.35">
      <c r="B160" s="26"/>
      <c r="C160" s="26"/>
      <c r="D160" s="26"/>
      <c r="E160" s="26"/>
      <c r="F160" s="26"/>
      <c r="G160" s="26"/>
      <c r="H160" s="26"/>
      <c r="I160" s="26"/>
      <c r="J160" s="26"/>
      <c r="K160" s="26"/>
      <c r="L160" s="26"/>
      <c r="M160" s="26"/>
      <c r="N160" s="26"/>
      <c r="P160" s="1" t="s">
        <v>188</v>
      </c>
    </row>
    <row r="161" spans="2:16" x14ac:dyDescent="0.35">
      <c r="B161" s="26"/>
      <c r="C161" s="26"/>
      <c r="D161" s="26"/>
      <c r="E161" s="26"/>
      <c r="F161" s="26"/>
      <c r="G161" s="26"/>
      <c r="H161" s="26"/>
      <c r="I161" s="26"/>
      <c r="J161" s="26"/>
      <c r="K161" s="26"/>
      <c r="L161" s="26"/>
      <c r="M161" s="26"/>
      <c r="N161" s="26"/>
      <c r="P161" s="1" t="s">
        <v>189</v>
      </c>
    </row>
    <row r="162" spans="2:16" x14ac:dyDescent="0.35">
      <c r="B162" s="26"/>
      <c r="C162" s="26"/>
      <c r="D162" s="26"/>
      <c r="E162" s="26"/>
      <c r="F162" s="26"/>
      <c r="G162" s="26"/>
      <c r="H162" s="26"/>
      <c r="I162" s="26"/>
      <c r="J162" s="26"/>
      <c r="K162" s="26"/>
      <c r="L162" s="26"/>
      <c r="M162" s="26"/>
      <c r="N162" s="26"/>
      <c r="P162" s="1" t="s">
        <v>190</v>
      </c>
    </row>
    <row r="163" spans="2:16" x14ac:dyDescent="0.35">
      <c r="B163" s="26"/>
      <c r="C163" s="26"/>
      <c r="D163" s="26"/>
      <c r="E163" s="26"/>
      <c r="F163" s="26"/>
      <c r="G163" s="26"/>
      <c r="H163" s="26"/>
      <c r="I163" s="26"/>
      <c r="J163" s="26"/>
      <c r="K163" s="26"/>
      <c r="L163" s="26"/>
      <c r="M163" s="26"/>
      <c r="N163" s="26"/>
      <c r="P163" s="1" t="s">
        <v>191</v>
      </c>
    </row>
    <row r="164" spans="2:16" x14ac:dyDescent="0.35">
      <c r="B164" s="26"/>
      <c r="C164" s="26"/>
      <c r="D164" s="26"/>
      <c r="E164" s="26"/>
      <c r="F164" s="26"/>
      <c r="G164" s="26"/>
      <c r="H164" s="26"/>
      <c r="I164" s="26"/>
      <c r="J164" s="26"/>
      <c r="K164" s="26"/>
      <c r="L164" s="26"/>
      <c r="M164" s="26"/>
      <c r="N164" s="26"/>
      <c r="P164" s="1" t="s">
        <v>192</v>
      </c>
    </row>
    <row r="165" spans="2:16" x14ac:dyDescent="0.35">
      <c r="B165" s="26"/>
      <c r="C165" s="26"/>
      <c r="D165" s="26"/>
      <c r="E165" s="26"/>
      <c r="F165" s="26"/>
      <c r="G165" s="26"/>
      <c r="H165" s="26"/>
      <c r="I165" s="26"/>
      <c r="J165" s="26"/>
      <c r="K165" s="26"/>
      <c r="L165" s="26"/>
      <c r="M165" s="26"/>
      <c r="N165" s="26"/>
      <c r="P165" s="1" t="s">
        <v>193</v>
      </c>
    </row>
    <row r="166" spans="2:16" x14ac:dyDescent="0.35">
      <c r="B166" s="26"/>
      <c r="C166" s="26"/>
      <c r="D166" s="26"/>
      <c r="E166" s="26"/>
      <c r="F166" s="26"/>
      <c r="G166" s="26"/>
      <c r="H166" s="26"/>
      <c r="I166" s="26"/>
      <c r="J166" s="26"/>
      <c r="K166" s="26"/>
      <c r="L166" s="26"/>
      <c r="M166" s="26"/>
      <c r="N166" s="26"/>
      <c r="P166" s="1" t="s">
        <v>194</v>
      </c>
    </row>
    <row r="167" spans="2:16" x14ac:dyDescent="0.35">
      <c r="B167" s="26"/>
      <c r="C167" s="26"/>
      <c r="D167" s="26"/>
      <c r="E167" s="26"/>
      <c r="F167" s="26"/>
      <c r="G167" s="26"/>
      <c r="H167" s="26"/>
      <c r="I167" s="26"/>
      <c r="J167" s="26"/>
      <c r="K167" s="26"/>
      <c r="L167" s="26"/>
      <c r="M167" s="26"/>
      <c r="N167" s="26"/>
    </row>
    <row r="168" spans="2:16" x14ac:dyDescent="0.35">
      <c r="B168" s="26"/>
      <c r="C168" s="26"/>
      <c r="D168" s="26"/>
      <c r="E168" s="26"/>
      <c r="F168" s="26"/>
      <c r="G168" s="26"/>
      <c r="H168" s="26"/>
      <c r="I168" s="26"/>
      <c r="J168" s="26"/>
      <c r="K168" s="26"/>
      <c r="L168" s="26"/>
      <c r="M168" s="26"/>
      <c r="N168" s="26"/>
      <c r="P168" s="1" t="s">
        <v>195</v>
      </c>
    </row>
    <row r="169" spans="2:16" x14ac:dyDescent="0.35">
      <c r="B169" s="26"/>
      <c r="C169" s="26"/>
      <c r="D169" s="26"/>
      <c r="E169" s="26"/>
      <c r="F169" s="26"/>
      <c r="G169" s="26"/>
      <c r="H169" s="26"/>
      <c r="I169" s="26"/>
      <c r="J169" s="26"/>
      <c r="K169" s="26"/>
      <c r="L169" s="26"/>
      <c r="M169" s="26"/>
      <c r="N169" s="26"/>
      <c r="P169" s="1" t="s">
        <v>196</v>
      </c>
    </row>
    <row r="170" spans="2:16" x14ac:dyDescent="0.35">
      <c r="B170" s="26"/>
      <c r="C170" s="26"/>
      <c r="D170" s="26"/>
      <c r="E170" s="26"/>
      <c r="F170" s="26"/>
      <c r="G170" s="26"/>
      <c r="H170" s="26"/>
      <c r="I170" s="26"/>
      <c r="J170" s="26"/>
      <c r="K170" s="26"/>
      <c r="L170" s="26"/>
      <c r="M170" s="26"/>
      <c r="N170" s="26"/>
      <c r="P170" s="1" t="s">
        <v>197</v>
      </c>
    </row>
    <row r="171" spans="2:16" x14ac:dyDescent="0.35">
      <c r="B171" s="26"/>
      <c r="C171" s="26"/>
      <c r="D171" s="26"/>
      <c r="E171" s="26"/>
      <c r="F171" s="26"/>
      <c r="G171" s="26"/>
      <c r="H171" s="26"/>
      <c r="I171" s="26"/>
      <c r="J171" s="26"/>
      <c r="K171" s="26"/>
      <c r="L171" s="26"/>
      <c r="M171" s="26"/>
      <c r="N171" s="26"/>
      <c r="P171" s="1" t="s">
        <v>198</v>
      </c>
    </row>
    <row r="172" spans="2:16" x14ac:dyDescent="0.35">
      <c r="B172" s="26"/>
      <c r="C172" s="26"/>
      <c r="D172" s="26"/>
      <c r="E172" s="26"/>
      <c r="F172" s="26"/>
      <c r="G172" s="26"/>
      <c r="H172" s="26"/>
      <c r="I172" s="26"/>
      <c r="J172" s="26"/>
      <c r="K172" s="26"/>
      <c r="L172" s="26"/>
      <c r="M172" s="26"/>
      <c r="N172" s="26"/>
      <c r="P172" s="1" t="s">
        <v>94</v>
      </c>
    </row>
    <row r="173" spans="2:16" x14ac:dyDescent="0.35">
      <c r="B173" s="26"/>
      <c r="C173" s="26"/>
      <c r="D173" s="26"/>
      <c r="E173" s="26"/>
      <c r="F173" s="26"/>
      <c r="G173" s="26"/>
      <c r="H173" s="26"/>
      <c r="I173" s="26"/>
      <c r="J173" s="26"/>
      <c r="K173" s="26"/>
      <c r="L173" s="26"/>
      <c r="M173" s="26"/>
      <c r="N173" s="26"/>
      <c r="P173" s="1" t="s">
        <v>199</v>
      </c>
    </row>
    <row r="174" spans="2:16" x14ac:dyDescent="0.35">
      <c r="B174" s="26"/>
      <c r="C174" s="26"/>
      <c r="D174" s="26"/>
      <c r="E174" s="26"/>
      <c r="F174" s="26"/>
      <c r="G174" s="26"/>
      <c r="H174" s="26"/>
      <c r="I174" s="26"/>
      <c r="J174" s="26"/>
      <c r="K174" s="26"/>
      <c r="L174" s="26"/>
      <c r="M174" s="26"/>
      <c r="N174" s="26"/>
      <c r="P174" s="1" t="s">
        <v>200</v>
      </c>
    </row>
    <row r="175" spans="2:16" x14ac:dyDescent="0.35">
      <c r="B175" s="26"/>
      <c r="C175" s="26"/>
      <c r="D175" s="26"/>
      <c r="E175" s="26"/>
      <c r="F175" s="26"/>
      <c r="G175" s="26"/>
      <c r="H175" s="26"/>
      <c r="I175" s="26"/>
      <c r="J175" s="26"/>
      <c r="K175" s="26"/>
      <c r="L175" s="26"/>
      <c r="M175" s="26"/>
      <c r="N175" s="26"/>
    </row>
    <row r="176" spans="2:16" x14ac:dyDescent="0.35">
      <c r="B176" s="26"/>
      <c r="C176" s="26"/>
      <c r="D176" s="26"/>
      <c r="E176" s="26"/>
      <c r="F176" s="26"/>
      <c r="G176" s="26"/>
      <c r="H176" s="26"/>
      <c r="I176" s="26"/>
      <c r="J176" s="26"/>
      <c r="K176" s="26"/>
      <c r="L176" s="26"/>
      <c r="M176" s="26"/>
      <c r="N176" s="26"/>
      <c r="P176" s="1" t="s">
        <v>204</v>
      </c>
    </row>
    <row r="177" spans="2:16" x14ac:dyDescent="0.35">
      <c r="B177" s="26"/>
      <c r="C177" s="26"/>
      <c r="D177" s="26"/>
      <c r="E177" s="26"/>
      <c r="F177" s="26"/>
      <c r="G177" s="26"/>
      <c r="H177" s="26"/>
      <c r="I177" s="26"/>
      <c r="J177" s="26"/>
      <c r="K177" s="26"/>
      <c r="L177" s="26"/>
      <c r="M177" s="26"/>
      <c r="N177" s="26"/>
      <c r="P177" s="1" t="s">
        <v>205</v>
      </c>
    </row>
    <row r="178" spans="2:16" x14ac:dyDescent="0.35">
      <c r="P178" s="1" t="s">
        <v>206</v>
      </c>
    </row>
    <row r="179" spans="2:16" x14ac:dyDescent="0.35">
      <c r="P179" s="1" t="s">
        <v>207</v>
      </c>
    </row>
    <row r="180" spans="2:16" x14ac:dyDescent="0.35">
      <c r="P180" s="1" t="s">
        <v>208</v>
      </c>
    </row>
    <row r="181" spans="2:16" x14ac:dyDescent="0.35">
      <c r="P181" s="1" t="s">
        <v>209</v>
      </c>
    </row>
    <row r="183" spans="2:16" x14ac:dyDescent="0.35">
      <c r="P183" s="1" t="s">
        <v>212</v>
      </c>
    </row>
    <row r="184" spans="2:16" x14ac:dyDescent="0.35">
      <c r="P184" s="1" t="s">
        <v>213</v>
      </c>
    </row>
    <row r="185" spans="2:16" x14ac:dyDescent="0.35">
      <c r="P185" s="1" t="s">
        <v>214</v>
      </c>
    </row>
    <row r="186" spans="2:16" x14ac:dyDescent="0.35">
      <c r="P186" s="1" t="s">
        <v>215</v>
      </c>
    </row>
    <row r="187" spans="2:16" x14ac:dyDescent="0.35">
      <c r="P187" s="1" t="s">
        <v>216</v>
      </c>
    </row>
    <row r="188" spans="2:16" x14ac:dyDescent="0.35">
      <c r="P188" s="1" t="s">
        <v>217</v>
      </c>
    </row>
    <row r="189" spans="2:16" x14ac:dyDescent="0.35">
      <c r="P189" s="1" t="s">
        <v>218</v>
      </c>
    </row>
    <row r="190" spans="2:16" x14ac:dyDescent="0.35">
      <c r="P190" s="1" t="s">
        <v>219</v>
      </c>
    </row>
    <row r="192" spans="2:16" x14ac:dyDescent="0.35">
      <c r="P192" s="1" t="s">
        <v>223</v>
      </c>
    </row>
    <row r="193" spans="16:16" x14ac:dyDescent="0.35">
      <c r="P193" s="1" t="s">
        <v>224</v>
      </c>
    </row>
    <row r="194" spans="16:16" x14ac:dyDescent="0.35">
      <c r="P194" s="1" t="s">
        <v>225</v>
      </c>
    </row>
    <row r="195" spans="16:16" x14ac:dyDescent="0.35">
      <c r="P195" s="1" t="s">
        <v>226</v>
      </c>
    </row>
    <row r="196" spans="16:16" x14ac:dyDescent="0.35">
      <c r="P196" s="1" t="s">
        <v>227</v>
      </c>
    </row>
    <row r="197" spans="16:16" x14ac:dyDescent="0.35">
      <c r="P197" s="1" t="s">
        <v>228</v>
      </c>
    </row>
    <row r="198" spans="16:16" x14ac:dyDescent="0.35">
      <c r="P198" s="1" t="s">
        <v>229</v>
      </c>
    </row>
    <row r="200" spans="16:16" x14ac:dyDescent="0.35">
      <c r="P200" s="1" t="s">
        <v>234</v>
      </c>
    </row>
    <row r="201" spans="16:16" x14ac:dyDescent="0.35">
      <c r="P201" s="1" t="s">
        <v>235</v>
      </c>
    </row>
    <row r="202" spans="16:16" x14ac:dyDescent="0.35">
      <c r="P202" s="1" t="s">
        <v>236</v>
      </c>
    </row>
    <row r="203" spans="16:16" x14ac:dyDescent="0.35">
      <c r="P203" s="1" t="s">
        <v>237</v>
      </c>
    </row>
    <row r="204" spans="16:16" x14ac:dyDescent="0.35">
      <c r="P204" s="1" t="s">
        <v>238</v>
      </c>
    </row>
    <row r="205" spans="16:16" x14ac:dyDescent="0.35">
      <c r="P205" s="1" t="s">
        <v>239</v>
      </c>
    </row>
    <row r="207" spans="16:16" x14ac:dyDescent="0.35">
      <c r="P207" s="1" t="s">
        <v>241</v>
      </c>
    </row>
    <row r="208" spans="16:16" x14ac:dyDescent="0.35">
      <c r="P208" s="1" t="s">
        <v>242</v>
      </c>
    </row>
    <row r="209" spans="16:16" x14ac:dyDescent="0.35">
      <c r="P209" s="1" t="s">
        <v>243</v>
      </c>
    </row>
    <row r="210" spans="16:16" x14ac:dyDescent="0.35">
      <c r="P210" s="1" t="s">
        <v>244</v>
      </c>
    </row>
    <row r="211" spans="16:16" x14ac:dyDescent="0.35">
      <c r="P211" s="1" t="s">
        <v>245</v>
      </c>
    </row>
    <row r="212" spans="16:16" x14ac:dyDescent="0.35">
      <c r="P212" s="1" t="s">
        <v>246</v>
      </c>
    </row>
    <row r="213" spans="16:16" x14ac:dyDescent="0.35">
      <c r="P213" s="1" t="s">
        <v>247</v>
      </c>
    </row>
    <row r="214" spans="16:16" x14ac:dyDescent="0.35">
      <c r="P214" s="1" t="s">
        <v>94</v>
      </c>
    </row>
    <row r="216" spans="16:16" x14ac:dyDescent="0.35">
      <c r="P216" s="1" t="s">
        <v>250</v>
      </c>
    </row>
    <row r="217" spans="16:16" x14ac:dyDescent="0.35">
      <c r="P217" s="1" t="s">
        <v>251</v>
      </c>
    </row>
    <row r="218" spans="16:16" x14ac:dyDescent="0.35">
      <c r="P218" s="1" t="s">
        <v>252</v>
      </c>
    </row>
    <row r="219" spans="16:16" x14ac:dyDescent="0.35">
      <c r="P219" s="1" t="s">
        <v>253</v>
      </c>
    </row>
    <row r="220" spans="16:16" x14ac:dyDescent="0.35">
      <c r="P220" s="1" t="s">
        <v>254</v>
      </c>
    </row>
    <row r="221" spans="16:16" x14ac:dyDescent="0.35">
      <c r="P221" s="1" t="s">
        <v>255</v>
      </c>
    </row>
    <row r="222" spans="16:16" x14ac:dyDescent="0.35">
      <c r="P222" s="1" t="s">
        <v>256</v>
      </c>
    </row>
    <row r="223" spans="16:16" x14ac:dyDescent="0.35">
      <c r="P223" s="1" t="s">
        <v>257</v>
      </c>
    </row>
    <row r="224" spans="16:16" x14ac:dyDescent="0.35">
      <c r="P224" s="1" t="s">
        <v>258</v>
      </c>
    </row>
    <row r="225" spans="16:16" x14ac:dyDescent="0.35">
      <c r="P225" s="1" t="s">
        <v>259</v>
      </c>
    </row>
    <row r="226" spans="16:16" x14ac:dyDescent="0.35">
      <c r="P226" s="1" t="s">
        <v>260</v>
      </c>
    </row>
    <row r="228" spans="16:16" x14ac:dyDescent="0.35">
      <c r="P228" s="1" t="s">
        <v>264</v>
      </c>
    </row>
    <row r="229" spans="16:16" x14ac:dyDescent="0.35">
      <c r="P229" s="1" t="s">
        <v>265</v>
      </c>
    </row>
    <row r="231" spans="16:16" x14ac:dyDescent="0.35">
      <c r="P231" s="1" t="s">
        <v>266</v>
      </c>
    </row>
    <row r="232" spans="16:16" x14ac:dyDescent="0.35">
      <c r="P232" s="1" t="s">
        <v>267</v>
      </c>
    </row>
    <row r="233" spans="16:16" x14ac:dyDescent="0.35">
      <c r="P233" s="1" t="s">
        <v>268</v>
      </c>
    </row>
    <row r="234" spans="16:16" x14ac:dyDescent="0.35">
      <c r="P234" s="1" t="s">
        <v>269</v>
      </c>
    </row>
    <row r="235" spans="16:16" x14ac:dyDescent="0.35">
      <c r="P235" s="1" t="s">
        <v>94</v>
      </c>
    </row>
    <row r="236" spans="16:16" x14ac:dyDescent="0.35">
      <c r="P236" s="1" t="s">
        <v>270</v>
      </c>
    </row>
    <row r="237" spans="16:16" x14ac:dyDescent="0.35">
      <c r="P237" s="1" t="s">
        <v>271</v>
      </c>
    </row>
    <row r="238" spans="16:16" x14ac:dyDescent="0.35">
      <c r="P238" s="1" t="s">
        <v>272</v>
      </c>
    </row>
    <row r="239" spans="16:16" x14ac:dyDescent="0.35">
      <c r="P239" s="1" t="s">
        <v>273</v>
      </c>
    </row>
    <row r="240" spans="16:16" x14ac:dyDescent="0.35">
      <c r="P240" s="1" t="s">
        <v>274</v>
      </c>
    </row>
    <row r="241" spans="16:16" x14ac:dyDescent="0.35">
      <c r="P241" s="1" t="s">
        <v>275</v>
      </c>
    </row>
    <row r="242" spans="16:16" x14ac:dyDescent="0.35">
      <c r="P242" s="1" t="s">
        <v>276</v>
      </c>
    </row>
    <row r="243" spans="16:16" x14ac:dyDescent="0.35">
      <c r="P243" s="1" t="s">
        <v>277</v>
      </c>
    </row>
    <row r="244" spans="16:16" x14ac:dyDescent="0.35">
      <c r="P244" s="1" t="s">
        <v>278</v>
      </c>
    </row>
    <row r="245" spans="16:16" x14ac:dyDescent="0.35">
      <c r="P245" s="1" t="s">
        <v>279</v>
      </c>
    </row>
    <row r="246" spans="16:16" x14ac:dyDescent="0.35">
      <c r="P246" s="1" t="s">
        <v>280</v>
      </c>
    </row>
    <row r="247" spans="16:16" x14ac:dyDescent="0.35">
      <c r="P247" s="1" t="s">
        <v>281</v>
      </c>
    </row>
    <row r="248" spans="16:16" x14ac:dyDescent="0.35">
      <c r="P248" s="1" t="s">
        <v>282</v>
      </c>
    </row>
    <row r="249" spans="16:16" x14ac:dyDescent="0.35">
      <c r="P249" s="1" t="s">
        <v>283</v>
      </c>
    </row>
    <row r="250" spans="16:16" x14ac:dyDescent="0.35">
      <c r="P250" s="1" t="s">
        <v>284</v>
      </c>
    </row>
    <row r="251" spans="16:16" x14ac:dyDescent="0.35">
      <c r="P251" s="1" t="s">
        <v>300</v>
      </c>
    </row>
    <row r="253" spans="16:16" x14ac:dyDescent="0.35">
      <c r="P253" s="1" t="s">
        <v>291</v>
      </c>
    </row>
    <row r="254" spans="16:16" x14ac:dyDescent="0.35">
      <c r="P254" s="1" t="s">
        <v>292</v>
      </c>
    </row>
    <row r="255" spans="16:16" x14ac:dyDescent="0.35">
      <c r="P255" s="1" t="s">
        <v>293</v>
      </c>
    </row>
    <row r="256" spans="16:16" x14ac:dyDescent="0.35">
      <c r="P256" s="1" t="s">
        <v>294</v>
      </c>
    </row>
    <row r="257" spans="16:16" x14ac:dyDescent="0.35">
      <c r="P257" s="1" t="s">
        <v>295</v>
      </c>
    </row>
    <row r="258" spans="16:16" x14ac:dyDescent="0.35">
      <c r="P258" s="1" t="s">
        <v>296</v>
      </c>
    </row>
    <row r="259" spans="16:16" x14ac:dyDescent="0.35">
      <c r="P259" s="1" t="s">
        <v>297</v>
      </c>
    </row>
    <row r="260" spans="16:16" x14ac:dyDescent="0.35">
      <c r="P260" s="1" t="s">
        <v>290</v>
      </c>
    </row>
    <row r="261" spans="16:16" x14ac:dyDescent="0.35">
      <c r="P261" s="1" t="s">
        <v>298</v>
      </c>
    </row>
    <row r="262" spans="16:16" x14ac:dyDescent="0.35">
      <c r="P262" s="1" t="s">
        <v>299</v>
      </c>
    </row>
    <row r="264" spans="16:16" x14ac:dyDescent="0.35">
      <c r="P264" s="1" t="s">
        <v>321</v>
      </c>
    </row>
    <row r="265" spans="16:16" x14ac:dyDescent="0.35">
      <c r="P265" s="1" t="s">
        <v>322</v>
      </c>
    </row>
    <row r="266" spans="16:16" x14ac:dyDescent="0.35">
      <c r="P266" s="1" t="s">
        <v>323</v>
      </c>
    </row>
    <row r="267" spans="16:16" x14ac:dyDescent="0.35">
      <c r="P267" s="1" t="s">
        <v>324</v>
      </c>
    </row>
    <row r="268" spans="16:16" x14ac:dyDescent="0.35">
      <c r="P268" s="1" t="s">
        <v>325</v>
      </c>
    </row>
    <row r="269" spans="16:16" x14ac:dyDescent="0.35">
      <c r="P269" s="1" t="s">
        <v>326</v>
      </c>
    </row>
    <row r="270" spans="16:16" x14ac:dyDescent="0.35">
      <c r="P270" s="1"/>
    </row>
    <row r="271" spans="16:16" x14ac:dyDescent="0.35">
      <c r="P271" s="1" t="s">
        <v>353</v>
      </c>
    </row>
    <row r="272" spans="16:16" x14ac:dyDescent="0.35">
      <c r="P272" s="1" t="s">
        <v>354</v>
      </c>
    </row>
    <row r="273" spans="16:16" x14ac:dyDescent="0.35">
      <c r="P273" s="1" t="s">
        <v>355</v>
      </c>
    </row>
    <row r="274" spans="16:16" x14ac:dyDescent="0.35">
      <c r="P274" s="1" t="s">
        <v>356</v>
      </c>
    </row>
    <row r="275" spans="16:16" x14ac:dyDescent="0.35">
      <c r="P275" s="1" t="s">
        <v>357</v>
      </c>
    </row>
    <row r="276" spans="16:16" x14ac:dyDescent="0.35">
      <c r="P276" s="1" t="s">
        <v>358</v>
      </c>
    </row>
    <row r="277" spans="16:16" x14ac:dyDescent="0.35">
      <c r="P277" s="1" t="s">
        <v>359</v>
      </c>
    </row>
    <row r="278" spans="16:16" x14ac:dyDescent="0.35">
      <c r="P278" s="1" t="s">
        <v>360</v>
      </c>
    </row>
    <row r="279" spans="16:16" x14ac:dyDescent="0.35">
      <c r="P279" s="16">
        <f>15.6*16/(16+21)</f>
        <v>6.7459459459459454</v>
      </c>
    </row>
    <row r="280" spans="16:16" x14ac:dyDescent="0.35">
      <c r="P280" s="16">
        <f>15.6*21/(16+21)</f>
        <v>8.8540540540540533</v>
      </c>
    </row>
    <row r="282" spans="16:16" x14ac:dyDescent="0.35">
      <c r="P282" t="s">
        <v>376</v>
      </c>
    </row>
    <row r="283" spans="16:16" x14ac:dyDescent="0.35">
      <c r="P283" s="1" t="s">
        <v>377</v>
      </c>
    </row>
    <row r="284" spans="16:16" x14ac:dyDescent="0.35">
      <c r="P284" s="1" t="s">
        <v>378</v>
      </c>
    </row>
    <row r="285" spans="16:16" x14ac:dyDescent="0.35">
      <c r="P285" s="1" t="s">
        <v>379</v>
      </c>
    </row>
    <row r="286" spans="16:16" x14ac:dyDescent="0.35">
      <c r="P286" s="1" t="s">
        <v>380</v>
      </c>
    </row>
    <row r="287" spans="16:16" x14ac:dyDescent="0.35">
      <c r="P287" s="1" t="s">
        <v>381</v>
      </c>
    </row>
    <row r="288" spans="16:16" x14ac:dyDescent="0.35">
      <c r="P288" s="1" t="s">
        <v>382</v>
      </c>
    </row>
    <row r="289" spans="16:16" x14ac:dyDescent="0.35">
      <c r="P289" s="1" t="s">
        <v>383</v>
      </c>
    </row>
    <row r="291" spans="16:16" x14ac:dyDescent="0.35">
      <c r="P291" s="1" t="s">
        <v>384</v>
      </c>
    </row>
    <row r="292" spans="16:16" x14ac:dyDescent="0.35">
      <c r="P292" s="1" t="s">
        <v>385</v>
      </c>
    </row>
    <row r="293" spans="16:16" x14ac:dyDescent="0.35">
      <c r="P293" s="1" t="s">
        <v>386</v>
      </c>
    </row>
    <row r="294" spans="16:16" x14ac:dyDescent="0.35">
      <c r="P294" s="1" t="s">
        <v>387</v>
      </c>
    </row>
    <row r="295" spans="16:16" x14ac:dyDescent="0.35">
      <c r="P295" s="1" t="s">
        <v>388</v>
      </c>
    </row>
    <row r="296" spans="16:16" x14ac:dyDescent="0.35">
      <c r="P296" s="1" t="s">
        <v>389</v>
      </c>
    </row>
    <row r="297" spans="16:16" x14ac:dyDescent="0.35">
      <c r="P297" s="1" t="s">
        <v>390</v>
      </c>
    </row>
    <row r="298" spans="16:16" x14ac:dyDescent="0.35">
      <c r="P298" s="1" t="s">
        <v>391</v>
      </c>
    </row>
    <row r="299" spans="16:16" x14ac:dyDescent="0.35">
      <c r="P299" s="1" t="s">
        <v>392</v>
      </c>
    </row>
    <row r="300" spans="16:16" x14ac:dyDescent="0.35">
      <c r="P300" s="1" t="s">
        <v>393</v>
      </c>
    </row>
    <row r="301" spans="16:16" x14ac:dyDescent="0.35">
      <c r="P301" s="1" t="s">
        <v>394</v>
      </c>
    </row>
    <row r="302" spans="16:16" x14ac:dyDescent="0.35">
      <c r="P302" s="1"/>
    </row>
    <row r="303" spans="16:16" x14ac:dyDescent="0.35">
      <c r="P303" s="1" t="s">
        <v>397</v>
      </c>
    </row>
    <row r="304" spans="16:16" x14ac:dyDescent="0.35">
      <c r="P304" s="1" t="s">
        <v>398</v>
      </c>
    </row>
    <row r="305" spans="16:16" x14ac:dyDescent="0.35">
      <c r="P305" s="1" t="s">
        <v>399</v>
      </c>
    </row>
    <row r="306" spans="16:16" x14ac:dyDescent="0.35">
      <c r="P306" s="1" t="s">
        <v>400</v>
      </c>
    </row>
    <row r="307" spans="16:16" x14ac:dyDescent="0.35">
      <c r="P307" s="1" t="s">
        <v>401</v>
      </c>
    </row>
    <row r="308" spans="16:16" x14ac:dyDescent="0.35">
      <c r="P308" s="1" t="s">
        <v>402</v>
      </c>
    </row>
    <row r="309" spans="16:16" x14ac:dyDescent="0.35">
      <c r="P309" s="1" t="s">
        <v>403</v>
      </c>
    </row>
    <row r="310" spans="16:16" x14ac:dyDescent="0.35">
      <c r="P310" s="1" t="s">
        <v>404</v>
      </c>
    </row>
    <row r="311" spans="16:16" x14ac:dyDescent="0.35">
      <c r="P311" s="1" t="s">
        <v>405</v>
      </c>
    </row>
    <row r="312" spans="16:16" x14ac:dyDescent="0.35">
      <c r="P312" s="1" t="s">
        <v>406</v>
      </c>
    </row>
    <row r="313" spans="16:16" x14ac:dyDescent="0.35">
      <c r="P313" s="1" t="s">
        <v>407</v>
      </c>
    </row>
    <row r="315" spans="16:16" x14ac:dyDescent="0.35">
      <c r="P315" s="1" t="s">
        <v>425</v>
      </c>
    </row>
    <row r="316" spans="16:16" x14ac:dyDescent="0.35">
      <c r="P316" s="1" t="s">
        <v>426</v>
      </c>
    </row>
    <row r="317" spans="16:16" x14ac:dyDescent="0.35">
      <c r="P317" s="1" t="s">
        <v>427</v>
      </c>
    </row>
    <row r="318" spans="16:16" x14ac:dyDescent="0.35">
      <c r="P318" s="1" t="s">
        <v>428</v>
      </c>
    </row>
    <row r="320" spans="16:16" x14ac:dyDescent="0.35">
      <c r="P320" s="1" t="s">
        <v>635</v>
      </c>
    </row>
    <row r="321" spans="16:16" x14ac:dyDescent="0.35">
      <c r="P321" s="1" t="s">
        <v>636</v>
      </c>
    </row>
    <row r="322" spans="16:16" x14ac:dyDescent="0.35">
      <c r="P322" s="1" t="s">
        <v>637</v>
      </c>
    </row>
    <row r="323" spans="16:16" x14ac:dyDescent="0.35">
      <c r="P323" s="1" t="s">
        <v>638</v>
      </c>
    </row>
    <row r="324" spans="16:16" x14ac:dyDescent="0.35">
      <c r="P324" s="1" t="s">
        <v>639</v>
      </c>
    </row>
    <row r="326" spans="16:16" x14ac:dyDescent="0.35">
      <c r="P326" s="1" t="s">
        <v>654</v>
      </c>
    </row>
    <row r="327" spans="16:16" x14ac:dyDescent="0.35">
      <c r="P327" s="1" t="s">
        <v>655</v>
      </c>
    </row>
    <row r="328" spans="16:16" x14ac:dyDescent="0.35">
      <c r="P328" s="1" t="s">
        <v>656</v>
      </c>
    </row>
    <row r="329" spans="16:16" x14ac:dyDescent="0.35">
      <c r="P329" s="1" t="s">
        <v>657</v>
      </c>
    </row>
    <row r="331" spans="16:16" x14ac:dyDescent="0.35">
      <c r="P331" s="62" t="s">
        <v>664</v>
      </c>
    </row>
    <row r="332" spans="16:16" x14ac:dyDescent="0.35">
      <c r="P332" s="62" t="s">
        <v>665</v>
      </c>
    </row>
    <row r="333" spans="16:16" x14ac:dyDescent="0.35">
      <c r="P333" s="62" t="s">
        <v>666</v>
      </c>
    </row>
    <row r="334" spans="16:16" x14ac:dyDescent="0.35">
      <c r="P334" s="62" t="s">
        <v>667</v>
      </c>
    </row>
    <row r="335" spans="16:16" x14ac:dyDescent="0.35">
      <c r="P335" s="62" t="s">
        <v>668</v>
      </c>
    </row>
    <row r="337" spans="16:16" x14ac:dyDescent="0.35">
      <c r="P337" s="62" t="s">
        <v>669</v>
      </c>
    </row>
    <row r="338" spans="16:16" x14ac:dyDescent="0.35">
      <c r="P338" s="62" t="s">
        <v>670</v>
      </c>
    </row>
    <row r="340" spans="16:16" x14ac:dyDescent="0.35">
      <c r="P340" s="62" t="s">
        <v>671</v>
      </c>
    </row>
    <row r="342" spans="16:16" x14ac:dyDescent="0.35">
      <c r="P342" s="62" t="s">
        <v>728</v>
      </c>
    </row>
    <row r="343" spans="16:16" x14ac:dyDescent="0.35">
      <c r="P343" s="1" t="s">
        <v>718</v>
      </c>
    </row>
    <row r="344" spans="16:16" x14ac:dyDescent="0.35">
      <c r="P344" s="1" t="s">
        <v>719</v>
      </c>
    </row>
    <row r="345" spans="16:16" x14ac:dyDescent="0.35">
      <c r="P345" s="1" t="s">
        <v>720</v>
      </c>
    </row>
    <row r="346" spans="16:16" x14ac:dyDescent="0.35">
      <c r="P346" s="1" t="s">
        <v>721</v>
      </c>
    </row>
    <row r="347" spans="16:16" x14ac:dyDescent="0.35">
      <c r="P347" s="1" t="s">
        <v>722</v>
      </c>
    </row>
    <row r="348" spans="16:16" x14ac:dyDescent="0.35">
      <c r="P348" s="1" t="s">
        <v>723</v>
      </c>
    </row>
    <row r="349" spans="16:16" x14ac:dyDescent="0.35">
      <c r="P349" s="1" t="s">
        <v>724</v>
      </c>
    </row>
    <row r="350" spans="16:16" x14ac:dyDescent="0.35">
      <c r="P350" s="1" t="s">
        <v>725</v>
      </c>
    </row>
    <row r="351" spans="16:16" x14ac:dyDescent="0.35">
      <c r="P351" s="1" t="s">
        <v>726</v>
      </c>
    </row>
    <row r="352" spans="16:16" x14ac:dyDescent="0.35">
      <c r="P352" s="1" t="s">
        <v>727</v>
      </c>
    </row>
    <row r="353" spans="16:16" x14ac:dyDescent="0.35">
      <c r="P353" s="1" t="s">
        <v>675</v>
      </c>
    </row>
    <row r="355" spans="16:16" x14ac:dyDescent="0.35">
      <c r="P355" s="1" t="s">
        <v>1033</v>
      </c>
    </row>
    <row r="356" spans="16:16" x14ac:dyDescent="0.35">
      <c r="P356" s="1" t="s">
        <v>1071</v>
      </c>
    </row>
    <row r="357" spans="16:16" x14ac:dyDescent="0.35">
      <c r="P357" s="1" t="s">
        <v>1034</v>
      </c>
    </row>
    <row r="358" spans="16:16" x14ac:dyDescent="0.35">
      <c r="P358" s="1" t="s">
        <v>1035</v>
      </c>
    </row>
    <row r="359" spans="16:16" x14ac:dyDescent="0.35">
      <c r="P359" s="1" t="s">
        <v>1036</v>
      </c>
    </row>
    <row r="360" spans="16:16" x14ac:dyDescent="0.35">
      <c r="P360" s="1" t="s">
        <v>1037</v>
      </c>
    </row>
    <row r="361" spans="16:16" x14ac:dyDescent="0.35">
      <c r="P361" s="1" t="s">
        <v>1038</v>
      </c>
    </row>
    <row r="362" spans="16:16" x14ac:dyDescent="0.35">
      <c r="P362" s="1" t="s">
        <v>1039</v>
      </c>
    </row>
    <row r="363" spans="16:16" x14ac:dyDescent="0.35">
      <c r="P363" s="1" t="s">
        <v>1040</v>
      </c>
    </row>
    <row r="364" spans="16:16" x14ac:dyDescent="0.35">
      <c r="P364" s="1" t="s">
        <v>1041</v>
      </c>
    </row>
    <row r="366" spans="16:16" x14ac:dyDescent="0.35">
      <c r="P366" s="1" t="s">
        <v>1042</v>
      </c>
    </row>
    <row r="367" spans="16:16" x14ac:dyDescent="0.35">
      <c r="P367" s="1" t="s">
        <v>1043</v>
      </c>
    </row>
    <row r="368" spans="16:16" x14ac:dyDescent="0.35">
      <c r="P368" s="1" t="s">
        <v>1044</v>
      </c>
    </row>
    <row r="370" spans="16:16" x14ac:dyDescent="0.35">
      <c r="P370" s="1" t="s">
        <v>1045</v>
      </c>
    </row>
    <row r="371" spans="16:16" x14ac:dyDescent="0.35">
      <c r="P371" s="1" t="s">
        <v>1046</v>
      </c>
    </row>
    <row r="372" spans="16:16" x14ac:dyDescent="0.35">
      <c r="P372" s="1" t="s">
        <v>1047</v>
      </c>
    </row>
    <row r="374" spans="16:16" x14ac:dyDescent="0.35">
      <c r="P374" s="41" t="s">
        <v>1048</v>
      </c>
    </row>
    <row r="375" spans="16:16" x14ac:dyDescent="0.35">
      <c r="P375" s="1" t="s">
        <v>1049</v>
      </c>
    </row>
    <row r="376" spans="16:16" x14ac:dyDescent="0.35">
      <c r="P376" s="1" t="s">
        <v>1050</v>
      </c>
    </row>
    <row r="377" spans="16:16" x14ac:dyDescent="0.35">
      <c r="P377" s="1" t="s">
        <v>1051</v>
      </c>
    </row>
    <row r="378" spans="16:16" x14ac:dyDescent="0.35">
      <c r="P378" s="1" t="s">
        <v>1052</v>
      </c>
    </row>
    <row r="379" spans="16:16" x14ac:dyDescent="0.35">
      <c r="P379" s="1" t="s">
        <v>1053</v>
      </c>
    </row>
    <row r="381" spans="16:16" x14ac:dyDescent="0.35">
      <c r="P381" s="82">
        <v>45383</v>
      </c>
    </row>
    <row r="382" spans="16:16" x14ac:dyDescent="0.35">
      <c r="P382" s="1" t="s">
        <v>1054</v>
      </c>
    </row>
    <row r="383" spans="16:16" x14ac:dyDescent="0.35">
      <c r="P383" s="1" t="s">
        <v>1055</v>
      </c>
    </row>
    <row r="384" spans="16:16" x14ac:dyDescent="0.35">
      <c r="P384" s="1" t="s">
        <v>1056</v>
      </c>
    </row>
    <row r="385" spans="16:16" x14ac:dyDescent="0.35">
      <c r="P385" s="1" t="s">
        <v>1057</v>
      </c>
    </row>
    <row r="386" spans="16:16" x14ac:dyDescent="0.35">
      <c r="P386" s="1" t="s">
        <v>1058</v>
      </c>
    </row>
    <row r="388" spans="16:16" x14ac:dyDescent="0.35">
      <c r="P388" s="41" t="s">
        <v>1059</v>
      </c>
    </row>
    <row r="389" spans="16:16" x14ac:dyDescent="0.35">
      <c r="P389" s="1" t="s">
        <v>1060</v>
      </c>
    </row>
    <row r="390" spans="16:16" x14ac:dyDescent="0.35">
      <c r="P390" s="1" t="s">
        <v>1061</v>
      </c>
    </row>
    <row r="391" spans="16:16" x14ac:dyDescent="0.35">
      <c r="P391" s="1" t="s">
        <v>1062</v>
      </c>
    </row>
    <row r="392" spans="16:16" x14ac:dyDescent="0.35">
      <c r="P392" s="1" t="s">
        <v>1063</v>
      </c>
    </row>
    <row r="393" spans="16:16" x14ac:dyDescent="0.35">
      <c r="P393" s="1" t="s">
        <v>1064</v>
      </c>
    </row>
    <row r="395" spans="16:16" x14ac:dyDescent="0.35">
      <c r="P395" s="41" t="s">
        <v>1065</v>
      </c>
    </row>
    <row r="396" spans="16:16" x14ac:dyDescent="0.35">
      <c r="P396" s="1" t="s">
        <v>1066</v>
      </c>
    </row>
    <row r="397" spans="16:16" x14ac:dyDescent="0.35">
      <c r="P397" s="1" t="s">
        <v>1067</v>
      </c>
    </row>
    <row r="399" spans="16:16" x14ac:dyDescent="0.35">
      <c r="P399" s="41" t="s">
        <v>1068</v>
      </c>
    </row>
    <row r="400" spans="16:16" x14ac:dyDescent="0.35">
      <c r="P400" s="1" t="s">
        <v>1069</v>
      </c>
    </row>
    <row r="401" spans="16:16" x14ac:dyDescent="0.35">
      <c r="P401" s="1" t="s">
        <v>1070</v>
      </c>
    </row>
    <row r="402" spans="16:16" x14ac:dyDescent="0.35">
      <c r="P402" s="1" t="s">
        <v>892</v>
      </c>
    </row>
    <row r="404" spans="16:16" x14ac:dyDescent="0.35">
      <c r="P404" s="1" t="s">
        <v>1080</v>
      </c>
    </row>
    <row r="405" spans="16:16" x14ac:dyDescent="0.35">
      <c r="P405" s="1" t="s">
        <v>1081</v>
      </c>
    </row>
    <row r="406" spans="16:16" x14ac:dyDescent="0.35">
      <c r="P406" s="1" t="s">
        <v>1082</v>
      </c>
    </row>
    <row r="407" spans="16:16" x14ac:dyDescent="0.35">
      <c r="P407" s="1" t="s">
        <v>1083</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FF257-3FF1-43EA-B159-BC972DB20BFE}">
  <dimension ref="A1:BW647"/>
  <sheetViews>
    <sheetView topLeftCell="A2" zoomScale="82" zoomScaleNormal="130" workbookViewId="0">
      <pane ySplit="2" topLeftCell="A4" activePane="bottomLeft" state="frozen"/>
      <selection activeCell="A2" sqref="A2"/>
      <selection pane="bottomLeft" activeCell="B2" sqref="B2"/>
    </sheetView>
  </sheetViews>
  <sheetFormatPr defaultRowHeight="14.5" x14ac:dyDescent="0.35"/>
  <cols>
    <col min="1" max="1" width="4.26953125" customWidth="1"/>
    <col min="2" max="2" width="13.453125" customWidth="1"/>
    <col min="3" max="3" width="21.1796875" customWidth="1"/>
    <col min="4" max="4" width="13.6328125" customWidth="1"/>
    <col min="5" max="5" width="17" customWidth="1"/>
    <col min="6" max="10" width="21.1796875" customWidth="1"/>
    <col min="11" max="11" width="4.26953125" customWidth="1"/>
    <col min="12" max="12" width="13.453125" customWidth="1"/>
    <col min="13" max="18" width="21.1796875" customWidth="1"/>
    <col min="19" max="19" width="4.1796875" customWidth="1"/>
    <col min="20" max="20" width="15.1796875" customWidth="1"/>
    <col min="21" max="21" width="18.453125" customWidth="1"/>
    <col min="22" max="31" width="21.1796875" customWidth="1"/>
    <col min="32" max="32" width="7.54296875" style="4" customWidth="1"/>
    <col min="33" max="34" width="24.90625" style="63" customWidth="1"/>
    <col min="35" max="44" width="21.1796875" customWidth="1"/>
    <col min="45" max="45" width="4.36328125" style="4" customWidth="1"/>
    <col min="46" max="46" width="13.08984375" style="63" customWidth="1"/>
    <col min="47" max="47" width="17" style="63" customWidth="1"/>
    <col min="48" max="48" width="13" customWidth="1"/>
    <col min="49" max="49" width="16.81640625" customWidth="1"/>
    <col min="50" max="50" width="15.08984375" customWidth="1"/>
    <col min="51" max="51" width="13.6328125" customWidth="1"/>
    <col min="52" max="52" width="13.08984375" customWidth="1"/>
    <col min="53" max="53" width="12.453125" customWidth="1"/>
    <col min="54" max="54" width="16.453125" customWidth="1"/>
    <col min="55" max="55" width="15.453125" customWidth="1"/>
    <col min="56" max="57" width="13.81640625" customWidth="1"/>
    <col min="58" max="58" width="7.08984375" style="4" customWidth="1"/>
    <col min="59" max="59" width="12.08984375" customWidth="1"/>
    <col min="60" max="60" width="15.36328125" customWidth="1"/>
    <col min="61" max="61" width="24.26953125" customWidth="1"/>
    <col min="62" max="62" width="12.36328125" customWidth="1"/>
    <col min="63" max="63" width="12.90625" customWidth="1"/>
    <col min="64" max="64" width="25.08984375" customWidth="1"/>
    <col min="65" max="65" width="17.7265625" customWidth="1"/>
    <col min="66" max="66" width="10.36328125" customWidth="1"/>
    <col min="67" max="67" width="10.08984375" customWidth="1"/>
    <col min="68" max="68" width="11.54296875" customWidth="1"/>
    <col min="69" max="69" width="14.90625" customWidth="1"/>
    <col min="71" max="71" width="12" customWidth="1"/>
    <col min="72" max="72" width="18.54296875" customWidth="1"/>
    <col min="73" max="73" width="85.6328125" customWidth="1"/>
    <col min="74" max="74" width="3.08984375" style="4" customWidth="1"/>
  </cols>
  <sheetData>
    <row r="1" spans="1:75" ht="23.5" x14ac:dyDescent="0.55000000000000004">
      <c r="L1" s="3" t="s">
        <v>411</v>
      </c>
      <c r="BN1" s="11" t="s">
        <v>119</v>
      </c>
      <c r="BO1" s="11"/>
      <c r="BP1" s="11"/>
      <c r="BQ1" s="11"/>
      <c r="BR1" s="11"/>
      <c r="BS1" s="11"/>
      <c r="BT1" s="11"/>
      <c r="BU1" s="11"/>
      <c r="BV1" s="11"/>
      <c r="BW1" s="11"/>
    </row>
    <row r="2" spans="1:75" x14ac:dyDescent="0.35">
      <c r="B2" t="s">
        <v>1099</v>
      </c>
    </row>
    <row r="3" spans="1:75" ht="52" customHeight="1" x14ac:dyDescent="0.45">
      <c r="B3" s="9" t="s">
        <v>37</v>
      </c>
      <c r="C3" s="2" t="s">
        <v>38</v>
      </c>
      <c r="D3" s="12" t="s">
        <v>1085</v>
      </c>
      <c r="E3" s="12" t="s">
        <v>1086</v>
      </c>
      <c r="F3" s="12" t="s">
        <v>959</v>
      </c>
      <c r="G3" s="12" t="s">
        <v>960</v>
      </c>
      <c r="H3" s="12" t="s">
        <v>961</v>
      </c>
      <c r="I3" s="12" t="s">
        <v>962</v>
      </c>
      <c r="J3" s="12" t="s">
        <v>963</v>
      </c>
      <c r="L3" s="9" t="s">
        <v>37</v>
      </c>
      <c r="M3" s="2" t="s">
        <v>38</v>
      </c>
      <c r="N3" s="12" t="s">
        <v>951</v>
      </c>
      <c r="O3" s="12" t="s">
        <v>952</v>
      </c>
      <c r="P3" s="12" t="s">
        <v>953</v>
      </c>
      <c r="Q3" s="12" t="s">
        <v>954</v>
      </c>
      <c r="R3" s="12" t="s">
        <v>955</v>
      </c>
      <c r="S3" s="12"/>
      <c r="T3" s="9" t="s">
        <v>37</v>
      </c>
      <c r="U3" s="2" t="s">
        <v>38</v>
      </c>
      <c r="V3" s="12" t="s">
        <v>745</v>
      </c>
      <c r="W3" s="12" t="s">
        <v>746</v>
      </c>
      <c r="X3" s="12" t="s">
        <v>747</v>
      </c>
      <c r="Y3" s="12" t="s">
        <v>748</v>
      </c>
      <c r="Z3" s="12" t="s">
        <v>749</v>
      </c>
      <c r="AA3" s="12" t="s">
        <v>750</v>
      </c>
      <c r="AB3" s="12" t="s">
        <v>751</v>
      </c>
      <c r="AC3" s="12" t="s">
        <v>752</v>
      </c>
      <c r="AD3" s="12" t="s">
        <v>753</v>
      </c>
      <c r="AE3" s="12" t="s">
        <v>754</v>
      </c>
      <c r="AF3" s="40"/>
      <c r="AG3" s="74" t="str">
        <f t="shared" ref="AG3:AH5" si="0">L3</f>
        <v>Ime</v>
      </c>
      <c r="AH3" s="74" t="str">
        <f t="shared" si="0"/>
        <v>Lokacija</v>
      </c>
      <c r="AI3" s="12" t="s">
        <v>678</v>
      </c>
      <c r="AJ3" s="12" t="s">
        <v>679</v>
      </c>
      <c r="AK3" s="12" t="s">
        <v>680</v>
      </c>
      <c r="AL3" s="12" t="s">
        <v>681</v>
      </c>
      <c r="AM3" s="12" t="s">
        <v>682</v>
      </c>
      <c r="AN3" s="12" t="s">
        <v>683</v>
      </c>
      <c r="AO3" s="12" t="s">
        <v>684</v>
      </c>
      <c r="AP3" s="12" t="s">
        <v>685</v>
      </c>
      <c r="AQ3" s="12" t="s">
        <v>686</v>
      </c>
      <c r="AR3" s="12" t="s">
        <v>687</v>
      </c>
      <c r="AS3" s="40"/>
      <c r="AT3" s="74" t="str">
        <f t="shared" ref="AT3:AU5" si="1">L3</f>
        <v>Ime</v>
      </c>
      <c r="AU3" s="74" t="str">
        <f t="shared" si="1"/>
        <v>Lokacija</v>
      </c>
      <c r="AV3" s="12" t="s">
        <v>432</v>
      </c>
      <c r="AW3" s="12" t="s">
        <v>439</v>
      </c>
      <c r="AX3" s="12" t="s">
        <v>434</v>
      </c>
      <c r="AY3" s="12" t="s">
        <v>431</v>
      </c>
      <c r="AZ3" s="12" t="s">
        <v>433</v>
      </c>
      <c r="BA3" s="12" t="s">
        <v>435</v>
      </c>
      <c r="BB3" s="12" t="s">
        <v>440</v>
      </c>
      <c r="BC3" s="12" t="s">
        <v>436</v>
      </c>
      <c r="BD3" s="12" t="s">
        <v>437</v>
      </c>
      <c r="BE3" s="12" t="s">
        <v>438</v>
      </c>
      <c r="BF3" s="77"/>
      <c r="BG3" s="12" t="s">
        <v>317</v>
      </c>
      <c r="BH3" s="12" t="s">
        <v>318</v>
      </c>
      <c r="BI3" s="12" t="s">
        <v>319</v>
      </c>
      <c r="BJ3" s="12" t="s">
        <v>301</v>
      </c>
      <c r="BK3" s="12" t="s">
        <v>307</v>
      </c>
      <c r="BL3" s="12" t="s">
        <v>303</v>
      </c>
      <c r="BM3" s="8" t="s">
        <v>39</v>
      </c>
      <c r="BN3" s="12" t="s">
        <v>120</v>
      </c>
      <c r="BO3" s="12" t="s">
        <v>121</v>
      </c>
      <c r="BP3" s="8" t="s">
        <v>40</v>
      </c>
      <c r="BQ3" s="8" t="s">
        <v>41</v>
      </c>
      <c r="BR3" s="8" t="s">
        <v>45</v>
      </c>
      <c r="BS3" s="8" t="s">
        <v>42</v>
      </c>
      <c r="BT3" s="8" t="s">
        <v>43</v>
      </c>
      <c r="BU3" s="2" t="s">
        <v>44</v>
      </c>
      <c r="BW3" s="1"/>
    </row>
    <row r="4" spans="1:75" ht="18.5" x14ac:dyDescent="0.35">
      <c r="A4" s="28">
        <f>SE_2023!A4</f>
        <v>1</v>
      </c>
      <c r="B4" s="33" t="str">
        <f>SE_2023!$B4</f>
        <v>Caps</v>
      </c>
      <c r="C4" s="16" t="str">
        <f>SE_2023!$C4</f>
        <v>sever Ljubljane</v>
      </c>
      <c r="D4" s="15">
        <v>14.34</v>
      </c>
      <c r="E4" s="42">
        <f t="shared" ref="E4:E44" si="2">D4/$BP4</f>
        <v>1.4198019801980197</v>
      </c>
      <c r="F4" s="15">
        <v>1234</v>
      </c>
      <c r="G4" s="42">
        <f>F4/$BP4</f>
        <v>122.17821782178218</v>
      </c>
      <c r="H4" s="14">
        <v>300</v>
      </c>
      <c r="I4" s="15"/>
      <c r="J4" s="15"/>
      <c r="K4" s="28"/>
      <c r="L4" s="33" t="str">
        <f>SE_2023!$B4</f>
        <v>Caps</v>
      </c>
      <c r="M4" s="16" t="str">
        <f>SE_2023!$C4</f>
        <v>sever Ljubljane</v>
      </c>
      <c r="N4" s="15">
        <v>1273</v>
      </c>
      <c r="O4" s="42">
        <f>N4/$BP4</f>
        <v>126.03960396039605</v>
      </c>
      <c r="P4" s="14">
        <v>447</v>
      </c>
      <c r="Q4" s="15"/>
      <c r="R4" s="15"/>
      <c r="S4" s="15"/>
      <c r="T4" s="33" t="str">
        <f>SE_2023!$B4</f>
        <v>Caps</v>
      </c>
      <c r="U4" s="16" t="str">
        <f>SE_2023!$C4</f>
        <v>sever Ljubljane</v>
      </c>
      <c r="V4" s="15">
        <v>844</v>
      </c>
      <c r="W4" s="42">
        <f>V4/$BP4</f>
        <v>83.56435643564356</v>
      </c>
      <c r="X4" s="14">
        <v>883</v>
      </c>
      <c r="Y4" s="15"/>
      <c r="Z4" s="15"/>
      <c r="AA4" s="15">
        <v>917</v>
      </c>
      <c r="AB4" s="42">
        <f>AA4/$BP4</f>
        <v>90.792079207920793</v>
      </c>
      <c r="AC4" s="14">
        <v>974</v>
      </c>
      <c r="AD4" s="15"/>
      <c r="AE4" s="15"/>
      <c r="AF4" s="56"/>
      <c r="AG4" s="76" t="str">
        <f t="shared" si="0"/>
        <v>Caps</v>
      </c>
      <c r="AH4" s="64" t="str">
        <f t="shared" si="0"/>
        <v>sever Ljubljane</v>
      </c>
      <c r="AI4" s="15">
        <v>506</v>
      </c>
      <c r="AJ4" s="42">
        <f>AI4/BP4</f>
        <v>50.099009900990097</v>
      </c>
      <c r="AK4" s="14">
        <f>AI4/0.54</f>
        <v>937.03703703703695</v>
      </c>
      <c r="AL4" s="15"/>
      <c r="AM4" s="15"/>
      <c r="AN4" s="15">
        <v>661</v>
      </c>
      <c r="AO4" s="42">
        <f>AN4/BP4</f>
        <v>65.445544554455452</v>
      </c>
      <c r="AP4" s="14">
        <f>AN4/0.95</f>
        <v>695.78947368421052</v>
      </c>
      <c r="AQ4" s="15"/>
      <c r="AR4" s="15"/>
      <c r="AS4" s="56"/>
      <c r="AT4" s="76" t="str">
        <f t="shared" si="1"/>
        <v>Caps</v>
      </c>
      <c r="AU4" s="64" t="str">
        <f t="shared" si="1"/>
        <v>sever Ljubljane</v>
      </c>
      <c r="AV4" s="15">
        <v>361</v>
      </c>
      <c r="AW4" s="42">
        <f>AV4/BP4</f>
        <v>35.742574257425744</v>
      </c>
      <c r="AX4" s="15">
        <v>1560</v>
      </c>
      <c r="AY4" s="15"/>
      <c r="AZ4" s="15">
        <v>1284</v>
      </c>
      <c r="BA4" s="15">
        <v>222</v>
      </c>
      <c r="BB4" s="42">
        <f>BA4/BP4</f>
        <v>21.980198019801982</v>
      </c>
      <c r="BC4" s="15">
        <v>124</v>
      </c>
      <c r="BD4" s="15"/>
      <c r="BE4" s="15"/>
      <c r="BF4" s="57"/>
      <c r="BG4" s="15">
        <v>2.14</v>
      </c>
      <c r="BH4" s="30">
        <f>BG4/BP4</f>
        <v>0.2118811881188119</v>
      </c>
      <c r="BI4" s="16" t="s">
        <v>345</v>
      </c>
      <c r="BJ4" s="15">
        <v>21</v>
      </c>
      <c r="BK4" s="30">
        <f>BJ4/BP4</f>
        <v>2.0792079207920793</v>
      </c>
      <c r="BL4" s="22" t="s">
        <v>337</v>
      </c>
      <c r="BM4" s="15">
        <f>SE_2023!F4</f>
        <v>1045.5445544554457</v>
      </c>
      <c r="BN4" s="15">
        <f>SE_2023!G4</f>
        <v>1087.029702970297</v>
      </c>
      <c r="BO4" s="15">
        <f>SE_2023!H4</f>
        <v>0</v>
      </c>
      <c r="BP4" s="15">
        <f>SE_2023!I4</f>
        <v>10.1</v>
      </c>
      <c r="BQ4" s="15">
        <f>SE_2023!J4</f>
        <v>160</v>
      </c>
      <c r="BR4" s="15">
        <f>SE_2023!K4</f>
        <v>21</v>
      </c>
      <c r="BS4" s="15">
        <f>SE_2023!L4</f>
        <v>10.1</v>
      </c>
      <c r="BT4" s="15">
        <f>SE_2023!M4</f>
        <v>9.6999999999999993</v>
      </c>
      <c r="BU4" s="16" t="str">
        <f>SE_2023!N4</f>
        <v>senčenje panelov v mesecih 11-2 od 10. do 14. ure (sosedi na jugu)</v>
      </c>
      <c r="BV4" s="6"/>
      <c r="BW4" s="1"/>
    </row>
    <row r="5" spans="1:75" ht="18.5" x14ac:dyDescent="0.35">
      <c r="A5" s="28">
        <f>SE_2023!A5</f>
        <v>2</v>
      </c>
      <c r="B5" s="33" t="str">
        <f>SE_2023!$B5</f>
        <v>cimi82</v>
      </c>
      <c r="C5" s="16" t="str">
        <f>SE_2023!$C5</f>
        <v>okolica NM</v>
      </c>
      <c r="D5" s="15">
        <v>55.28</v>
      </c>
      <c r="E5" s="42">
        <f t="shared" si="2"/>
        <v>4.1626506024096388</v>
      </c>
      <c r="F5" s="15">
        <v>1820</v>
      </c>
      <c r="G5" s="42">
        <f t="shared" ref="G5:G41" si="3">F5/$BP5</f>
        <v>137.04819277108433</v>
      </c>
      <c r="H5" s="15">
        <v>870</v>
      </c>
      <c r="I5" s="15"/>
      <c r="J5" s="15"/>
      <c r="K5" s="28"/>
      <c r="L5" s="33" t="str">
        <f>SE_2023!$B5</f>
        <v>cimi82</v>
      </c>
      <c r="M5" s="16" t="str">
        <f>SE_2023!$C5</f>
        <v>okolica NM</v>
      </c>
      <c r="N5" s="15">
        <v>1900</v>
      </c>
      <c r="O5" s="42">
        <f t="shared" ref="O5:O41" si="4">N5/$BP5</f>
        <v>143.07228915662651</v>
      </c>
      <c r="P5" s="15">
        <v>801</v>
      </c>
      <c r="Q5" s="15"/>
      <c r="R5" s="15"/>
      <c r="S5" s="15"/>
      <c r="T5" s="33" t="str">
        <f>SE_2023!$B5</f>
        <v>cimi82</v>
      </c>
      <c r="U5" s="16" t="str">
        <f>SE_2023!$C5</f>
        <v>okolica NM</v>
      </c>
      <c r="V5" s="15">
        <v>1380</v>
      </c>
      <c r="W5" s="42">
        <f t="shared" ref="W5:W41" si="5">V5/$BP5</f>
        <v>103.91566265060241</v>
      </c>
      <c r="X5" s="15">
        <v>896</v>
      </c>
      <c r="Y5" s="15"/>
      <c r="Z5" s="15"/>
      <c r="AA5" s="15"/>
      <c r="AB5" s="42">
        <f t="shared" ref="AB5:AB40" si="6">AA5/$BP5</f>
        <v>0</v>
      </c>
      <c r="AC5" s="15"/>
      <c r="AD5" s="15"/>
      <c r="AE5" s="15"/>
      <c r="AF5" s="56"/>
      <c r="AG5" s="76" t="str">
        <f t="shared" si="0"/>
        <v>cimi82</v>
      </c>
      <c r="AH5" s="64" t="str">
        <f t="shared" si="0"/>
        <v>okolica NM</v>
      </c>
      <c r="AI5" s="15">
        <v>1065</v>
      </c>
      <c r="AJ5" s="42">
        <f t="shared" ref="AJ5:AJ41" si="7">AI5/BP5</f>
        <v>80.195783132530124</v>
      </c>
      <c r="AK5" s="15">
        <v>726</v>
      </c>
      <c r="AL5" s="15"/>
      <c r="AM5" s="15"/>
      <c r="AN5" s="15"/>
      <c r="AO5" s="42">
        <f t="shared" ref="AO5:AO41" si="8">AN5/BP5</f>
        <v>0</v>
      </c>
      <c r="AP5" s="15"/>
      <c r="AQ5" s="15"/>
      <c r="AR5" s="15"/>
      <c r="AS5" s="56"/>
      <c r="AT5" s="76" t="str">
        <f t="shared" si="1"/>
        <v>cimi82</v>
      </c>
      <c r="AU5" s="64" t="str">
        <f t="shared" si="1"/>
        <v>okolica NM</v>
      </c>
      <c r="AV5" s="15">
        <v>1017</v>
      </c>
      <c r="AW5" s="42">
        <f>AV5/BP5</f>
        <v>76.581325301204828</v>
      </c>
      <c r="AX5" s="15">
        <v>845</v>
      </c>
      <c r="AY5" s="15" t="s">
        <v>469</v>
      </c>
      <c r="AZ5" s="15"/>
      <c r="BA5" s="15"/>
      <c r="BB5" s="42"/>
      <c r="BC5" s="15"/>
      <c r="BD5" s="15"/>
      <c r="BE5" s="15"/>
      <c r="BF5" s="57"/>
      <c r="BG5" s="15">
        <v>5.32</v>
      </c>
      <c r="BH5" s="30">
        <f>BG5/BP5</f>
        <v>0.40060240963855426</v>
      </c>
      <c r="BI5" s="16" t="s">
        <v>409</v>
      </c>
      <c r="BJ5" s="15">
        <v>7.43</v>
      </c>
      <c r="BK5" s="30">
        <f t="shared" ref="BK5:BK34" si="9">BJ5/BP5</f>
        <v>0.55948795180722888</v>
      </c>
      <c r="BL5" s="22" t="s">
        <v>412</v>
      </c>
      <c r="BM5" s="15">
        <f>SE_2023!F5</f>
        <v>1310.9939759036145</v>
      </c>
      <c r="BN5" s="15">
        <f>SE_2023!G5</f>
        <v>1097.1385542168675</v>
      </c>
      <c r="BO5" s="15">
        <f>SE_2023!H5</f>
        <v>0</v>
      </c>
      <c r="BP5" s="15">
        <f>SE_2023!I5</f>
        <v>13.28</v>
      </c>
      <c r="BQ5" s="15">
        <f>SE_2023!J5</f>
        <v>170</v>
      </c>
      <c r="BR5" s="15">
        <f>SE_2023!K5</f>
        <v>40</v>
      </c>
      <c r="BS5" s="15">
        <f>SE_2023!L5</f>
        <v>13.6</v>
      </c>
      <c r="BT5" s="15">
        <f>SE_2023!M5</f>
        <v>0</v>
      </c>
      <c r="BU5" s="16" t="str">
        <f>SE_2023!N5</f>
        <v>priklop 20.3.2023</v>
      </c>
      <c r="BV5" s="6"/>
      <c r="BW5" s="1" t="s">
        <v>366</v>
      </c>
    </row>
    <row r="6" spans="1:75" ht="47" customHeight="1" x14ac:dyDescent="0.35">
      <c r="A6" s="28">
        <f>SE_2023!A6</f>
        <v>3</v>
      </c>
      <c r="B6" s="33" t="str">
        <f>SE_2023!$B6</f>
        <v>xavi</v>
      </c>
      <c r="C6" s="16" t="str">
        <f>SE_2023!$C6</f>
        <v>Maribor - Zrkovci</v>
      </c>
      <c r="D6" s="15">
        <v>31.2</v>
      </c>
      <c r="E6" s="42">
        <f t="shared" si="2"/>
        <v>3.458980044345898</v>
      </c>
      <c r="F6" s="14">
        <v>1320</v>
      </c>
      <c r="G6" s="42">
        <f t="shared" si="3"/>
        <v>146.34146341463415</v>
      </c>
      <c r="H6" s="78">
        <v>418</v>
      </c>
      <c r="I6" s="15"/>
      <c r="J6" s="15"/>
      <c r="K6" s="28"/>
      <c r="L6" s="33" t="str">
        <f>SE_2023!$B6</f>
        <v>xavi</v>
      </c>
      <c r="M6" s="16" t="str">
        <f>SE_2023!$C6</f>
        <v>Maribor - Zrkovci</v>
      </c>
      <c r="N6" s="14">
        <v>1330</v>
      </c>
      <c r="O6" s="42">
        <f t="shared" si="4"/>
        <v>147.45011086474503</v>
      </c>
      <c r="P6" s="78">
        <v>614</v>
      </c>
      <c r="Q6" s="15"/>
      <c r="R6" s="15"/>
      <c r="S6" s="15"/>
      <c r="T6" s="33" t="str">
        <f>SE_2023!$B6</f>
        <v>xavi</v>
      </c>
      <c r="U6" s="16" t="str">
        <f>SE_2023!$C6</f>
        <v>Maribor - Zrkovci</v>
      </c>
      <c r="V6" s="14">
        <v>982</v>
      </c>
      <c r="W6" s="42">
        <f t="shared" si="5"/>
        <v>108.86917960088692</v>
      </c>
      <c r="X6" s="78">
        <v>781</v>
      </c>
      <c r="Y6" s="15"/>
      <c r="Z6" s="15"/>
      <c r="AA6" s="15">
        <v>994</v>
      </c>
      <c r="AB6" s="42">
        <f t="shared" si="6"/>
        <v>110.19955654101996</v>
      </c>
      <c r="AC6" s="15"/>
      <c r="AD6" s="15"/>
      <c r="AE6" s="15"/>
      <c r="AF6" s="56"/>
      <c r="AG6" s="76" t="str">
        <f t="shared" ref="AG6:AG41" si="10">L6</f>
        <v>xavi</v>
      </c>
      <c r="AH6" s="64" t="str">
        <f t="shared" ref="AH6:AH41" si="11">M6</f>
        <v>Maribor - Zrkovci</v>
      </c>
      <c r="AI6" s="14">
        <f>BP6*82.15</f>
        <v>740.99300000000005</v>
      </c>
      <c r="AJ6" s="42">
        <f t="shared" si="7"/>
        <v>82.15</v>
      </c>
      <c r="AK6" s="30">
        <f>AI6+642.28-532.98</f>
        <v>850.29300000000012</v>
      </c>
      <c r="AL6" s="15"/>
      <c r="AM6" s="15"/>
      <c r="AN6" s="15"/>
      <c r="AO6" s="42">
        <f t="shared" si="8"/>
        <v>0</v>
      </c>
      <c r="AP6" s="15"/>
      <c r="AQ6" s="15"/>
      <c r="AR6" s="15"/>
      <c r="AS6" s="56"/>
      <c r="AT6" s="76" t="str">
        <f t="shared" ref="AT6:AT41" si="12">L6</f>
        <v>xavi</v>
      </c>
      <c r="AU6" s="64" t="str">
        <f t="shared" ref="AU6:AU41" si="13">M6</f>
        <v>Maribor - Zrkovci</v>
      </c>
      <c r="AV6" s="15">
        <v>663</v>
      </c>
      <c r="AW6" s="42">
        <f>AV6/BP6</f>
        <v>73.50332594235033</v>
      </c>
      <c r="AX6" s="15">
        <v>1289</v>
      </c>
      <c r="AY6" s="15"/>
      <c r="AZ6" s="15"/>
      <c r="BA6" s="15">
        <v>410</v>
      </c>
      <c r="BB6" s="42">
        <f>BA6/BP6</f>
        <v>45.454545454545453</v>
      </c>
      <c r="BC6" s="15"/>
      <c r="BD6" s="15"/>
      <c r="BE6" s="15"/>
      <c r="BF6" s="57"/>
      <c r="BG6" s="15">
        <v>3.21</v>
      </c>
      <c r="BH6" s="30">
        <f>BG6/BP6</f>
        <v>0.3558758314855876</v>
      </c>
      <c r="BI6" s="16">
        <v>42.47</v>
      </c>
      <c r="BJ6" s="15">
        <v>31</v>
      </c>
      <c r="BK6" s="30">
        <f t="shared" si="9"/>
        <v>3.4368070953436809</v>
      </c>
      <c r="BL6" s="22" t="s">
        <v>424</v>
      </c>
      <c r="BM6" s="15">
        <f>SE_2023!F6</f>
        <v>1352.5498891352549</v>
      </c>
      <c r="BN6" s="15">
        <f>SE_2023!G6</f>
        <v>1323.7250554323725</v>
      </c>
      <c r="BO6" s="15">
        <f>SE_2023!H6</f>
        <v>0</v>
      </c>
      <c r="BP6" s="15">
        <f>SE_2023!I6</f>
        <v>9.02</v>
      </c>
      <c r="BQ6" s="15">
        <f>SE_2023!J6</f>
        <v>150.5</v>
      </c>
      <c r="BR6" s="15">
        <f>SE_2023!K6</f>
        <v>42</v>
      </c>
      <c r="BS6" s="15">
        <f>SE_2023!L6</f>
        <v>10.25</v>
      </c>
      <c r="BT6" s="15">
        <f>SE_2023!M6</f>
        <v>0</v>
      </c>
      <c r="BU6" s="16" t="str">
        <f>SE_2023!N6</f>
        <v>Elektrarna v pogonu od 22.9.2022.
Proizvodnja leto 2022 2,09 MWh
Proizvodnja od 22.9.2023 do 31.12.2023 - 2330 kWh oz. 11% več kot 2022.</v>
      </c>
      <c r="BV6" s="6"/>
      <c r="BW6" s="1" t="s">
        <v>367</v>
      </c>
    </row>
    <row r="7" spans="1:75" ht="29" x14ac:dyDescent="0.35">
      <c r="A7" s="28">
        <f>SE_2023!A7</f>
        <v>4</v>
      </c>
      <c r="B7" s="33" t="str">
        <f>SE_2023!$B7</f>
        <v>slepec</v>
      </c>
      <c r="C7" s="16" t="str">
        <f>SE_2023!$C7</f>
        <v>okolica Litije, višina 505</v>
      </c>
      <c r="D7" s="15">
        <v>52</v>
      </c>
      <c r="E7" s="42">
        <f t="shared" si="2"/>
        <v>3.8433111603843315</v>
      </c>
      <c r="F7" s="15">
        <v>1850</v>
      </c>
      <c r="G7" s="42">
        <f t="shared" si="3"/>
        <v>136.73318551367333</v>
      </c>
      <c r="H7" s="15">
        <v>1030</v>
      </c>
      <c r="I7" s="15"/>
      <c r="J7" s="15"/>
      <c r="K7" s="28"/>
      <c r="L7" s="33" t="str">
        <f>SE_2023!$B7</f>
        <v>slepec</v>
      </c>
      <c r="M7" s="16" t="str">
        <f>SE_2023!$C7</f>
        <v>okolica Litije, višina 505</v>
      </c>
      <c r="N7" s="15">
        <v>1920</v>
      </c>
      <c r="O7" s="42">
        <f t="shared" si="4"/>
        <v>141.90687361419069</v>
      </c>
      <c r="P7" s="15">
        <v>980</v>
      </c>
      <c r="Q7" s="15"/>
      <c r="R7" s="15"/>
      <c r="S7" s="15"/>
      <c r="T7" s="33" t="str">
        <f>SE_2023!$B7</f>
        <v>slepec</v>
      </c>
      <c r="U7" s="16" t="str">
        <f>SE_2023!$C7</f>
        <v>okolica Litije, višina 505</v>
      </c>
      <c r="V7" s="15">
        <v>1350</v>
      </c>
      <c r="W7" s="42">
        <f t="shared" si="5"/>
        <v>99.77827050997783</v>
      </c>
      <c r="X7" s="15">
        <v>1150</v>
      </c>
      <c r="Y7" s="15">
        <v>300</v>
      </c>
      <c r="Z7" s="15"/>
      <c r="AA7" s="15"/>
      <c r="AB7" s="42">
        <f t="shared" si="6"/>
        <v>0</v>
      </c>
      <c r="AC7" s="15"/>
      <c r="AD7" s="15"/>
      <c r="AE7" s="15"/>
      <c r="AF7" s="56"/>
      <c r="AG7" s="76" t="str">
        <f t="shared" si="10"/>
        <v>slepec</v>
      </c>
      <c r="AH7" s="64" t="str">
        <f t="shared" si="11"/>
        <v>okolica Litije, višina 505</v>
      </c>
      <c r="AI7" s="15">
        <v>950</v>
      </c>
      <c r="AJ7" s="42">
        <f t="shared" si="7"/>
        <v>70.214338507021438</v>
      </c>
      <c r="AK7" s="15">
        <v>1470</v>
      </c>
      <c r="AL7" s="15">
        <v>670</v>
      </c>
      <c r="AM7" s="15">
        <f>202+100</f>
        <v>302</v>
      </c>
      <c r="AN7" s="15"/>
      <c r="AO7" s="42">
        <f t="shared" si="8"/>
        <v>0</v>
      </c>
      <c r="AP7" s="15"/>
      <c r="AQ7" s="15"/>
      <c r="AR7" s="15"/>
      <c r="AS7" s="56"/>
      <c r="AT7" s="76" t="str">
        <f t="shared" si="12"/>
        <v>slepec</v>
      </c>
      <c r="AU7" s="64" t="str">
        <f t="shared" si="13"/>
        <v>okolica Litije, višina 505</v>
      </c>
      <c r="AV7" s="15">
        <v>1102</v>
      </c>
      <c r="AW7" s="42">
        <f>AV7/BP7</f>
        <v>81.448632668144867</v>
      </c>
      <c r="AX7" s="15">
        <v>1500</v>
      </c>
      <c r="AY7" s="15">
        <v>450</v>
      </c>
      <c r="AZ7" s="15">
        <f>450+110</f>
        <v>560</v>
      </c>
      <c r="BA7" s="15"/>
      <c r="BB7" s="42"/>
      <c r="BC7" s="15">
        <v>980</v>
      </c>
      <c r="BD7" s="15"/>
      <c r="BE7" s="15">
        <f>400+135</f>
        <v>535</v>
      </c>
      <c r="BF7" s="57"/>
      <c r="BG7" s="15">
        <v>5.5</v>
      </c>
      <c r="BH7" s="30">
        <f>BG7/BP7</f>
        <v>0.40650406504065045</v>
      </c>
      <c r="BI7" s="16" t="s">
        <v>328</v>
      </c>
      <c r="BJ7" s="15">
        <v>42</v>
      </c>
      <c r="BK7" s="30">
        <f t="shared" si="9"/>
        <v>3.1042128603104215</v>
      </c>
      <c r="BL7" s="31" t="s">
        <v>336</v>
      </c>
      <c r="BM7" s="15">
        <f>SE_2023!F7</f>
        <v>1282.3355506282337</v>
      </c>
      <c r="BN7" s="15">
        <f>SE_2023!G7</f>
        <v>498.89135254988918</v>
      </c>
      <c r="BO7" s="15">
        <f>SE_2023!H7</f>
        <v>0</v>
      </c>
      <c r="BP7" s="15">
        <f>SE_2023!I7</f>
        <v>13.53</v>
      </c>
      <c r="BQ7" s="15">
        <f>SE_2023!J7</f>
        <v>155</v>
      </c>
      <c r="BR7" s="15">
        <f>SE_2023!K7</f>
        <v>35</v>
      </c>
      <c r="BS7" s="15">
        <f>SE_2023!L7</f>
        <v>13.6</v>
      </c>
      <c r="BT7" s="15">
        <f>SE_2023!M7</f>
        <v>13.5</v>
      </c>
      <c r="BU7" s="16" t="str">
        <f>SE_2023!N7</f>
        <v>priklop 10.7.2023</v>
      </c>
      <c r="BV7" s="6"/>
      <c r="BW7" s="1" t="s">
        <v>368</v>
      </c>
    </row>
    <row r="8" spans="1:75" ht="18.5" x14ac:dyDescent="0.35">
      <c r="A8" s="28">
        <f>SE_2023!A8</f>
        <v>5</v>
      </c>
      <c r="B8" s="33" t="str">
        <f>SE_2023!$B8</f>
        <v>JaBK</v>
      </c>
      <c r="C8" s="16" t="str">
        <f>SE_2023!$C8</f>
        <v>okolica Kranja</v>
      </c>
      <c r="D8" s="15">
        <v>30.5</v>
      </c>
      <c r="E8" s="42">
        <f t="shared" si="2"/>
        <v>2.2592592592592591</v>
      </c>
      <c r="F8" s="14"/>
      <c r="G8" s="42">
        <f t="shared" si="3"/>
        <v>0</v>
      </c>
      <c r="H8" s="15"/>
      <c r="I8" s="15"/>
      <c r="J8" s="15"/>
      <c r="K8" s="28"/>
      <c r="L8" s="33" t="str">
        <f>SE_2023!$B8</f>
        <v>JaBK</v>
      </c>
      <c r="M8" s="16" t="str">
        <f>SE_2023!$C8</f>
        <v>okolica Kranja</v>
      </c>
      <c r="N8" s="14"/>
      <c r="O8" s="42">
        <f t="shared" si="4"/>
        <v>0</v>
      </c>
      <c r="P8" s="15"/>
      <c r="Q8" s="15"/>
      <c r="R8" s="15"/>
      <c r="S8" s="15"/>
      <c r="T8" s="33" t="str">
        <f>SE_2023!$B8</f>
        <v>JaBK</v>
      </c>
      <c r="U8" s="16" t="str">
        <f>SE_2023!$C8</f>
        <v>okolica Kranja</v>
      </c>
      <c r="V8" s="14"/>
      <c r="W8" s="42">
        <f t="shared" si="5"/>
        <v>0</v>
      </c>
      <c r="X8" s="15"/>
      <c r="Y8" s="15"/>
      <c r="Z8" s="15"/>
      <c r="AA8" s="15"/>
      <c r="AB8" s="42">
        <f t="shared" si="6"/>
        <v>0</v>
      </c>
      <c r="AC8" s="15"/>
      <c r="AD8" s="15"/>
      <c r="AE8" s="15"/>
      <c r="AF8" s="56"/>
      <c r="AG8" s="76" t="str">
        <f t="shared" si="10"/>
        <v>JaBK</v>
      </c>
      <c r="AH8" s="64" t="str">
        <f t="shared" si="11"/>
        <v>okolica Kranja</v>
      </c>
      <c r="AI8" s="14">
        <f>BP8*48.4</f>
        <v>653.4</v>
      </c>
      <c r="AJ8" s="42">
        <f t="shared" si="7"/>
        <v>48.4</v>
      </c>
      <c r="AK8" s="15"/>
      <c r="AL8" s="15"/>
      <c r="AM8" s="15"/>
      <c r="AN8" s="15"/>
      <c r="AO8" s="42">
        <f t="shared" si="8"/>
        <v>0</v>
      </c>
      <c r="AP8" s="15"/>
      <c r="AQ8" s="15"/>
      <c r="AR8" s="15"/>
      <c r="AS8" s="56"/>
      <c r="AT8" s="76" t="str">
        <f t="shared" si="12"/>
        <v>JaBK</v>
      </c>
      <c r="AU8" s="64" t="str">
        <f t="shared" si="13"/>
        <v>okolica Kranja</v>
      </c>
      <c r="AV8" s="15"/>
      <c r="AW8" s="42"/>
      <c r="AX8" s="15"/>
      <c r="AY8" s="15"/>
      <c r="AZ8" s="15"/>
      <c r="BA8" s="15"/>
      <c r="BB8" s="42"/>
      <c r="BC8" s="15"/>
      <c r="BD8" s="15"/>
      <c r="BE8" s="15"/>
      <c r="BF8" s="57"/>
      <c r="BG8" s="15">
        <v>4.83</v>
      </c>
      <c r="BH8" s="30">
        <f>BG8/BP8</f>
        <v>0.35777777777777781</v>
      </c>
      <c r="BI8" s="16" t="s">
        <v>364</v>
      </c>
      <c r="BJ8" s="15">
        <v>28.5</v>
      </c>
      <c r="BK8" s="30">
        <f t="shared" si="9"/>
        <v>2.1111111111111112</v>
      </c>
      <c r="BL8" s="22" t="s">
        <v>363</v>
      </c>
      <c r="BM8" s="15">
        <f>SE_2023!F8</f>
        <v>981.55555555555554</v>
      </c>
      <c r="BN8" s="15">
        <f>SE_2023!G8</f>
        <v>1046.4444444444443</v>
      </c>
      <c r="BO8" s="15">
        <f>SE_2023!H8</f>
        <v>1140.2962962962963</v>
      </c>
      <c r="BP8" s="15">
        <f>SE_2023!I8</f>
        <v>13.5</v>
      </c>
      <c r="BQ8" s="15">
        <f>SE_2023!J8</f>
        <v>249</v>
      </c>
      <c r="BR8" s="15">
        <f>SE_2023!K8</f>
        <v>38</v>
      </c>
      <c r="BS8" s="15">
        <f>SE_2023!L8</f>
        <v>13.5</v>
      </c>
      <c r="BT8" s="15">
        <f>SE_2023!M8</f>
        <v>13.4</v>
      </c>
      <c r="BU8" s="16" t="str">
        <f>SE_2023!N8</f>
        <v>all black paneli (naj bi delali cca 3% slabše)
Koledarsko leto 2022: 15394kWh oziroma 1140kWh/kWp</v>
      </c>
      <c r="BV8" s="6"/>
      <c r="BW8" s="1" t="s">
        <v>369</v>
      </c>
    </row>
    <row r="9" spans="1:75" ht="18.5" x14ac:dyDescent="0.35">
      <c r="A9" s="28">
        <f>SE_2023!A9</f>
        <v>6</v>
      </c>
      <c r="B9" s="33" t="str">
        <f>SE_2023!$B9</f>
        <v>pregela</v>
      </c>
      <c r="C9" s="16" t="str">
        <f>SE_2023!$C9</f>
        <v>Litija</v>
      </c>
      <c r="D9" s="15"/>
      <c r="E9" s="42">
        <f t="shared" si="2"/>
        <v>0</v>
      </c>
      <c r="F9" s="15"/>
      <c r="G9" s="42">
        <f t="shared" si="3"/>
        <v>0</v>
      </c>
      <c r="H9" s="15"/>
      <c r="I9" s="15"/>
      <c r="J9" s="15"/>
      <c r="K9" s="28"/>
      <c r="L9" s="33" t="str">
        <f>SE_2023!$B9</f>
        <v>pregela</v>
      </c>
      <c r="M9" s="16" t="str">
        <f>SE_2023!$C9</f>
        <v>Litija</v>
      </c>
      <c r="N9" s="15"/>
      <c r="O9" s="42">
        <f t="shared" si="4"/>
        <v>0</v>
      </c>
      <c r="P9" s="15"/>
      <c r="Q9" s="15"/>
      <c r="R9" s="15"/>
      <c r="S9" s="15"/>
      <c r="T9" s="33" t="str">
        <f>SE_2023!$B9</f>
        <v>pregela</v>
      </c>
      <c r="U9" s="16" t="str">
        <f>SE_2023!$C9</f>
        <v>Litija</v>
      </c>
      <c r="V9" s="15"/>
      <c r="W9" s="42">
        <f t="shared" si="5"/>
        <v>0</v>
      </c>
      <c r="X9" s="15"/>
      <c r="Y9" s="15"/>
      <c r="Z9" s="15"/>
      <c r="AA9" s="15"/>
      <c r="AB9" s="42">
        <f t="shared" si="6"/>
        <v>0</v>
      </c>
      <c r="AC9" s="15"/>
      <c r="AD9" s="15"/>
      <c r="AE9" s="15"/>
      <c r="AF9" s="56"/>
      <c r="AG9" s="76" t="str">
        <f t="shared" si="10"/>
        <v>pregela</v>
      </c>
      <c r="AH9" s="64" t="str">
        <f t="shared" si="11"/>
        <v>Litija</v>
      </c>
      <c r="AI9" s="15"/>
      <c r="AJ9" s="42">
        <f t="shared" si="7"/>
        <v>0</v>
      </c>
      <c r="AK9" s="15"/>
      <c r="AL9" s="15"/>
      <c r="AM9" s="15"/>
      <c r="AN9" s="15"/>
      <c r="AO9" s="42">
        <f t="shared" si="8"/>
        <v>0</v>
      </c>
      <c r="AP9" s="15"/>
      <c r="AQ9" s="15"/>
      <c r="AR9" s="15"/>
      <c r="AS9" s="56"/>
      <c r="AT9" s="76" t="str">
        <f t="shared" si="12"/>
        <v>pregela</v>
      </c>
      <c r="AU9" s="64" t="str">
        <f t="shared" si="13"/>
        <v>Litija</v>
      </c>
      <c r="AV9" s="15"/>
      <c r="AW9" s="42"/>
      <c r="AX9" s="15"/>
      <c r="AY9" s="15"/>
      <c r="AZ9" s="15"/>
      <c r="BA9" s="15"/>
      <c r="BB9" s="42"/>
      <c r="BC9" s="15"/>
      <c r="BD9" s="15"/>
      <c r="BE9" s="15"/>
      <c r="BF9" s="57"/>
      <c r="BG9" s="15"/>
      <c r="BH9" s="15"/>
      <c r="BI9" s="16"/>
      <c r="BJ9" s="15"/>
      <c r="BK9" s="30">
        <f t="shared" si="9"/>
        <v>0</v>
      </c>
      <c r="BL9" s="22"/>
      <c r="BM9" s="15">
        <f>SE_2023!F9</f>
        <v>1010.4166666666667</v>
      </c>
      <c r="BN9" s="15">
        <f>SE_2023!G9</f>
        <v>1023.9583333333334</v>
      </c>
      <c r="BO9" s="15">
        <f>SE_2023!H9</f>
        <v>1137.8125</v>
      </c>
      <c r="BP9" s="15">
        <f>SE_2023!I9</f>
        <v>9.6</v>
      </c>
      <c r="BQ9" s="15">
        <f>SE_2023!J9</f>
        <v>240</v>
      </c>
      <c r="BR9" s="15">
        <f>SE_2023!K9</f>
        <v>30</v>
      </c>
      <c r="BS9" s="15">
        <f>SE_2023!L9</f>
        <v>9.6</v>
      </c>
      <c r="BT9" s="15">
        <f>SE_2023!M9</f>
        <v>9.6</v>
      </c>
      <c r="BU9" s="16" t="str">
        <f>SE_2023!N9</f>
        <v>2022 10923 kWh 1138kWh/kWp</v>
      </c>
      <c r="BV9" s="6"/>
      <c r="BW9" s="1" t="s">
        <v>370</v>
      </c>
    </row>
    <row r="10" spans="1:75" ht="18.5" x14ac:dyDescent="0.35">
      <c r="A10" s="28">
        <f>SE_2023!A10</f>
        <v>7</v>
      </c>
      <c r="B10" s="33" t="str">
        <f>SE_2023!$B10</f>
        <v>labelsm</v>
      </c>
      <c r="C10" s="16" t="str">
        <f>SE_2023!$C10</f>
        <v>Zgornje Hoče pri MB</v>
      </c>
      <c r="D10" s="15"/>
      <c r="E10" s="42">
        <f t="shared" si="2"/>
        <v>0</v>
      </c>
      <c r="F10" s="15"/>
      <c r="G10" s="42">
        <f t="shared" si="3"/>
        <v>0</v>
      </c>
      <c r="H10" s="15"/>
      <c r="I10" s="15"/>
      <c r="J10" s="15"/>
      <c r="K10" s="28"/>
      <c r="L10" s="33" t="str">
        <f>SE_2023!$B10</f>
        <v>labelsm</v>
      </c>
      <c r="M10" s="16" t="str">
        <f>SE_2023!$C10</f>
        <v>Zgornje Hoče pri MB</v>
      </c>
      <c r="N10" s="15"/>
      <c r="O10" s="42">
        <f t="shared" si="4"/>
        <v>0</v>
      </c>
      <c r="P10" s="15"/>
      <c r="Q10" s="15"/>
      <c r="R10" s="15"/>
      <c r="S10" s="15"/>
      <c r="T10" s="33" t="str">
        <f>SE_2023!$B10</f>
        <v>labelsm</v>
      </c>
      <c r="U10" s="16" t="str">
        <f>SE_2023!$C10</f>
        <v>Zgornje Hoče pri MB</v>
      </c>
      <c r="V10" s="15"/>
      <c r="W10" s="42">
        <f t="shared" si="5"/>
        <v>0</v>
      </c>
      <c r="X10" s="15"/>
      <c r="Y10" s="15"/>
      <c r="Z10" s="15"/>
      <c r="AA10" s="15"/>
      <c r="AB10" s="42">
        <f t="shared" si="6"/>
        <v>0</v>
      </c>
      <c r="AC10" s="15"/>
      <c r="AD10" s="15"/>
      <c r="AE10" s="15"/>
      <c r="AF10" s="56"/>
      <c r="AG10" s="76" t="str">
        <f t="shared" si="10"/>
        <v>labelsm</v>
      </c>
      <c r="AH10" s="64" t="str">
        <f t="shared" si="11"/>
        <v>Zgornje Hoče pri MB</v>
      </c>
      <c r="AI10" s="15"/>
      <c r="AJ10" s="42">
        <f t="shared" si="7"/>
        <v>0</v>
      </c>
      <c r="AK10" s="15"/>
      <c r="AL10" s="15"/>
      <c r="AM10" s="15"/>
      <c r="AN10" s="15"/>
      <c r="AO10" s="42">
        <f t="shared" si="8"/>
        <v>0</v>
      </c>
      <c r="AP10" s="15"/>
      <c r="AQ10" s="15"/>
      <c r="AR10" s="15"/>
      <c r="AS10" s="56"/>
      <c r="AT10" s="76" t="str">
        <f t="shared" si="12"/>
        <v>labelsm</v>
      </c>
      <c r="AU10" s="64" t="str">
        <f t="shared" si="13"/>
        <v>Zgornje Hoče pri MB</v>
      </c>
      <c r="AV10" s="15">
        <v>470</v>
      </c>
      <c r="AW10" s="42">
        <f>AV10/BP10</f>
        <v>36.153846153846153</v>
      </c>
      <c r="AX10" s="15">
        <v>1850</v>
      </c>
      <c r="AY10" s="15"/>
      <c r="AZ10" s="15">
        <v>1310</v>
      </c>
      <c r="BA10" s="15"/>
      <c r="BB10" s="42"/>
      <c r="BC10" s="15"/>
      <c r="BD10" s="15"/>
      <c r="BE10" s="15"/>
      <c r="BF10" s="57"/>
      <c r="BG10" s="15">
        <v>6.5</v>
      </c>
      <c r="BH10" s="30">
        <f>BG10/BP10</f>
        <v>0.5</v>
      </c>
      <c r="BI10" s="16" t="s">
        <v>330</v>
      </c>
      <c r="BJ10" s="15">
        <v>21.5</v>
      </c>
      <c r="BK10" s="30">
        <f t="shared" si="9"/>
        <v>1.6538461538461537</v>
      </c>
      <c r="BL10" s="22" t="s">
        <v>311</v>
      </c>
      <c r="BM10" s="15">
        <f>SE_2023!F10</f>
        <v>0</v>
      </c>
      <c r="BN10" s="15">
        <f>SE_2023!G10</f>
        <v>1053.8461538461538</v>
      </c>
      <c r="BO10" s="15">
        <f>SE_2023!H10</f>
        <v>0</v>
      </c>
      <c r="BP10" s="15">
        <f>SE_2023!I10</f>
        <v>13</v>
      </c>
      <c r="BQ10" s="15">
        <f>SE_2023!J10</f>
        <v>245</v>
      </c>
      <c r="BR10" s="15">
        <f>SE_2023!K10</f>
        <v>30</v>
      </c>
      <c r="BS10" s="15">
        <f>SE_2023!L10</f>
        <v>11</v>
      </c>
      <c r="BT10" s="15">
        <f>SE_2023!M10</f>
        <v>10.9</v>
      </c>
      <c r="BU10" s="16" t="str">
        <f>SE_2023!N10</f>
        <v>Priklop 25.1.2023
black paneli
Paneli so senčeni zaradi manjšega gozda od 13.45 h naprej</v>
      </c>
      <c r="BV10" s="6"/>
      <c r="BW10" s="1" t="s">
        <v>371</v>
      </c>
    </row>
    <row r="11" spans="1:75" ht="31" customHeight="1" x14ac:dyDescent="0.35">
      <c r="A11" s="28">
        <f>SE_2023!A11</f>
        <v>8</v>
      </c>
      <c r="B11" s="33" t="str">
        <f>SE_2023!$B11</f>
        <v>letalec007</v>
      </c>
      <c r="C11" s="16" t="str">
        <f>SE_2023!$C11</f>
        <v>okolica Cerknice</v>
      </c>
      <c r="D11" s="15">
        <v>12.2</v>
      </c>
      <c r="E11" s="42">
        <f t="shared" si="2"/>
        <v>1.2512820512820513</v>
      </c>
      <c r="F11" s="15">
        <v>1080</v>
      </c>
      <c r="G11" s="42">
        <f t="shared" si="3"/>
        <v>110.76923076923077</v>
      </c>
      <c r="H11" s="14">
        <v>677.51</v>
      </c>
      <c r="I11" s="15"/>
      <c r="J11" s="15"/>
      <c r="K11" s="28"/>
      <c r="L11" s="33" t="str">
        <f>SE_2023!$B11</f>
        <v>letalec007</v>
      </c>
      <c r="M11" s="16" t="str">
        <f>SE_2023!$C11</f>
        <v>okolica Cerknice</v>
      </c>
      <c r="N11" s="15">
        <v>1200</v>
      </c>
      <c r="O11" s="42">
        <f t="shared" si="4"/>
        <v>123.07692307692308</v>
      </c>
      <c r="P11" s="14">
        <v>780.06</v>
      </c>
      <c r="Q11" s="15"/>
      <c r="R11" s="15"/>
      <c r="S11" s="15"/>
      <c r="T11" s="33" t="str">
        <f>SE_2023!$B11</f>
        <v>letalec007</v>
      </c>
      <c r="U11" s="16" t="str">
        <f>SE_2023!$C11</f>
        <v>okolica Cerknice</v>
      </c>
      <c r="V11" s="15">
        <v>840</v>
      </c>
      <c r="W11" s="42">
        <f t="shared" si="5"/>
        <v>86.15384615384616</v>
      </c>
      <c r="X11" s="14">
        <v>844.66</v>
      </c>
      <c r="Y11" s="15"/>
      <c r="Z11" s="15"/>
      <c r="AA11" s="15">
        <v>866</v>
      </c>
      <c r="AB11" s="42">
        <f t="shared" si="6"/>
        <v>88.820512820512818</v>
      </c>
      <c r="AC11" s="14">
        <v>936.5</v>
      </c>
      <c r="AD11" s="15"/>
      <c r="AE11" s="15"/>
      <c r="AF11" s="56"/>
      <c r="AG11" s="76" t="str">
        <f t="shared" si="10"/>
        <v>letalec007</v>
      </c>
      <c r="AH11" s="64" t="str">
        <f t="shared" si="11"/>
        <v>okolica Cerknice</v>
      </c>
      <c r="AI11" s="15">
        <v>549</v>
      </c>
      <c r="AJ11" s="42">
        <f t="shared" si="7"/>
        <v>56.307692307692307</v>
      </c>
      <c r="AK11" s="14">
        <v>858</v>
      </c>
      <c r="AL11" s="15"/>
      <c r="AM11" s="15">
        <v>357.9</v>
      </c>
      <c r="AN11" s="15">
        <v>354</v>
      </c>
      <c r="AO11" s="42">
        <f t="shared" si="8"/>
        <v>36.307692307692307</v>
      </c>
      <c r="AP11" s="14">
        <v>1024.8</v>
      </c>
      <c r="AQ11" s="15"/>
      <c r="AR11" s="15">
        <v>527.29999999999995</v>
      </c>
      <c r="AS11" s="56"/>
      <c r="AT11" s="76" t="str">
        <f t="shared" si="12"/>
        <v>letalec007</v>
      </c>
      <c r="AU11" s="64" t="str">
        <f t="shared" si="13"/>
        <v>okolica Cerknice</v>
      </c>
      <c r="AV11" s="15">
        <v>484</v>
      </c>
      <c r="AW11" s="42">
        <f>AV11/BP11</f>
        <v>49.641025641025642</v>
      </c>
      <c r="AX11" s="14">
        <v>1194.79</v>
      </c>
      <c r="AY11" s="15"/>
      <c r="AZ11" s="15">
        <v>541.5</v>
      </c>
      <c r="BA11" s="15">
        <v>133</v>
      </c>
      <c r="BB11" s="42">
        <f>BA11/BP11</f>
        <v>13.641025641025641</v>
      </c>
      <c r="BC11" s="14">
        <v>1198.55</v>
      </c>
      <c r="BD11" s="15"/>
      <c r="BE11" s="15">
        <v>494.3</v>
      </c>
      <c r="BF11" s="57"/>
      <c r="BG11" s="15">
        <v>0.70199999999999996</v>
      </c>
      <c r="BH11" s="30">
        <f>BG11/BP11</f>
        <v>7.1999999999999995E-2</v>
      </c>
      <c r="BI11" s="16" t="s">
        <v>332</v>
      </c>
      <c r="BJ11" s="15">
        <v>27.6</v>
      </c>
      <c r="BK11" s="30">
        <f t="shared" si="9"/>
        <v>2.8307692307692309</v>
      </c>
      <c r="BL11" s="22"/>
      <c r="BM11" s="15">
        <f>SE_2023!F11</f>
        <v>1106.6666666666667</v>
      </c>
      <c r="BN11" s="15">
        <f>SE_2023!G11</f>
        <v>1097.4358974358975</v>
      </c>
      <c r="BO11" s="15">
        <f>SE_2023!H11</f>
        <v>0</v>
      </c>
      <c r="BP11" s="15">
        <f>SE_2023!I11</f>
        <v>9.75</v>
      </c>
      <c r="BQ11" s="15" t="str">
        <f>SE_2023!J11</f>
        <v>3.75 kW, 158.5
6 kW, 247.9</v>
      </c>
      <c r="BR11" s="15" t="str">
        <f>SE_2023!K11</f>
        <v>33
33</v>
      </c>
      <c r="BS11" s="15">
        <f>SE_2023!L11</f>
        <v>11.2</v>
      </c>
      <c r="BT11" s="15">
        <f>SE_2023!M11</f>
        <v>11</v>
      </c>
      <c r="BU11" s="16" t="str">
        <f>SE_2023!N11</f>
        <v>v zimskem času so nekateri paneli v senci (sosednje stavbe)</v>
      </c>
      <c r="BV11" s="6"/>
      <c r="BW11" s="1"/>
    </row>
    <row r="12" spans="1:75" ht="18.5" x14ac:dyDescent="0.35">
      <c r="A12" s="28">
        <f>SE_2023!A12</f>
        <v>9</v>
      </c>
      <c r="B12" s="33" t="str">
        <f>SE_2023!$B12</f>
        <v>vuego</v>
      </c>
      <c r="C12" s="16" t="str">
        <f>SE_2023!$C12</f>
        <v>okolica Kamnika</v>
      </c>
      <c r="D12" s="15"/>
      <c r="E12" s="42">
        <f t="shared" si="2"/>
        <v>0</v>
      </c>
      <c r="F12" s="15"/>
      <c r="G12" s="42">
        <f t="shared" si="3"/>
        <v>0</v>
      </c>
      <c r="H12" s="15"/>
      <c r="I12" s="15"/>
      <c r="J12" s="15"/>
      <c r="K12" s="28"/>
      <c r="L12" s="33" t="str">
        <f>SE_2023!$B12</f>
        <v>vuego</v>
      </c>
      <c r="M12" s="16" t="str">
        <f>SE_2023!$C12</f>
        <v>okolica Kamnika</v>
      </c>
      <c r="N12" s="15"/>
      <c r="O12" s="42">
        <f t="shared" si="4"/>
        <v>0</v>
      </c>
      <c r="P12" s="15"/>
      <c r="Q12" s="15"/>
      <c r="R12" s="15"/>
      <c r="S12" s="15"/>
      <c r="T12" s="33" t="str">
        <f>SE_2023!$B12</f>
        <v>vuego</v>
      </c>
      <c r="U12" s="16" t="str">
        <f>SE_2023!$C12</f>
        <v>okolica Kamnika</v>
      </c>
      <c r="V12" s="15"/>
      <c r="W12" s="42">
        <f t="shared" si="5"/>
        <v>0</v>
      </c>
      <c r="X12" s="15"/>
      <c r="Y12" s="15"/>
      <c r="Z12" s="15"/>
      <c r="AA12" s="15"/>
      <c r="AB12" s="42">
        <f t="shared" si="6"/>
        <v>0</v>
      </c>
      <c r="AC12" s="15"/>
      <c r="AD12" s="15"/>
      <c r="AE12" s="15"/>
      <c r="AF12" s="56"/>
      <c r="AG12" s="76" t="str">
        <f t="shared" si="10"/>
        <v>vuego</v>
      </c>
      <c r="AH12" s="64" t="str">
        <f t="shared" si="11"/>
        <v>okolica Kamnika</v>
      </c>
      <c r="AI12" s="15"/>
      <c r="AJ12" s="42">
        <f t="shared" si="7"/>
        <v>0</v>
      </c>
      <c r="AK12" s="15"/>
      <c r="AL12" s="15"/>
      <c r="AM12" s="15"/>
      <c r="AN12" s="15"/>
      <c r="AO12" s="42">
        <f t="shared" si="8"/>
        <v>0</v>
      </c>
      <c r="AP12" s="15"/>
      <c r="AQ12" s="15"/>
      <c r="AR12" s="15"/>
      <c r="AS12" s="56"/>
      <c r="AT12" s="76" t="str">
        <f t="shared" si="12"/>
        <v>vuego</v>
      </c>
      <c r="AU12" s="64" t="str">
        <f t="shared" si="13"/>
        <v>okolica Kamnika</v>
      </c>
      <c r="AV12" s="15"/>
      <c r="AW12" s="42"/>
      <c r="AX12" s="15"/>
      <c r="AY12" s="15"/>
      <c r="AZ12" s="15"/>
      <c r="BA12" s="15"/>
      <c r="BB12" s="42"/>
      <c r="BC12" s="15"/>
      <c r="BD12" s="15"/>
      <c r="BE12" s="15"/>
      <c r="BF12" s="57"/>
      <c r="BG12" s="15"/>
      <c r="BH12" s="15"/>
      <c r="BI12" s="16"/>
      <c r="BJ12" s="15"/>
      <c r="BK12" s="30">
        <f t="shared" si="9"/>
        <v>0</v>
      </c>
      <c r="BL12" s="22"/>
      <c r="BM12" s="15">
        <f>SE_2023!F12</f>
        <v>0</v>
      </c>
      <c r="BN12" s="15">
        <f>SE_2023!G12</f>
        <v>1129.9390774586598</v>
      </c>
      <c r="BO12" s="15">
        <f>SE_2023!H12</f>
        <v>0</v>
      </c>
      <c r="BP12" s="15">
        <f>SE_2023!I12</f>
        <v>11.49</v>
      </c>
      <c r="BQ12" s="15">
        <f>SE_2023!J12</f>
        <v>225</v>
      </c>
      <c r="BR12" s="15">
        <f>SE_2023!K12</f>
        <v>35</v>
      </c>
      <c r="BS12" s="15">
        <f>SE_2023!L12</f>
        <v>10</v>
      </c>
      <c r="BT12" s="15">
        <f>SE_2023!M12</f>
        <v>9.99</v>
      </c>
      <c r="BU12" s="16" t="str">
        <f>SE_2023!N12</f>
        <v xml:space="preserve"> v zimskem času so nekateri paneli popoldne v senci (drevesa na sosednji parceli)</v>
      </c>
      <c r="BV12" s="6"/>
      <c r="BW12" s="1" t="s">
        <v>413</v>
      </c>
    </row>
    <row r="13" spans="1:75" ht="18.5" x14ac:dyDescent="0.35">
      <c r="A13" s="28">
        <f>SE_2023!A13</f>
        <v>10</v>
      </c>
      <c r="B13" s="33" t="str">
        <f>SE_2023!$B13</f>
        <v>Dave</v>
      </c>
      <c r="C13" s="16" t="str">
        <f>SE_2023!$C13</f>
        <v>okolica Črnomlja</v>
      </c>
      <c r="D13" s="15">
        <v>22.8</v>
      </c>
      <c r="E13" s="42">
        <f t="shared" si="2"/>
        <v>1.7117117117117118</v>
      </c>
      <c r="F13" s="15"/>
      <c r="G13" s="42">
        <f t="shared" si="3"/>
        <v>0</v>
      </c>
      <c r="H13" s="15"/>
      <c r="I13" s="15"/>
      <c r="J13" s="15"/>
      <c r="K13" s="28"/>
      <c r="L13" s="33" t="str">
        <f>SE_2023!$B13</f>
        <v>Dave</v>
      </c>
      <c r="M13" s="16" t="str">
        <f>SE_2023!$C13</f>
        <v>okolica Črnomlja</v>
      </c>
      <c r="N13" s="15"/>
      <c r="O13" s="42">
        <f t="shared" si="4"/>
        <v>0</v>
      </c>
      <c r="P13" s="15"/>
      <c r="Q13" s="15"/>
      <c r="R13" s="15"/>
      <c r="S13" s="15"/>
      <c r="T13" s="33" t="str">
        <f>SE_2023!$B13</f>
        <v>Dave</v>
      </c>
      <c r="U13" s="16" t="str">
        <f>SE_2023!$C13</f>
        <v>okolica Črnomlja</v>
      </c>
      <c r="V13" s="15"/>
      <c r="W13" s="42">
        <f t="shared" si="5"/>
        <v>0</v>
      </c>
      <c r="X13" s="15"/>
      <c r="Y13" s="15"/>
      <c r="Z13" s="15"/>
      <c r="AA13" s="15"/>
      <c r="AB13" s="42">
        <f t="shared" si="6"/>
        <v>0</v>
      </c>
      <c r="AC13" s="15"/>
      <c r="AD13" s="15"/>
      <c r="AE13" s="15"/>
      <c r="AF13" s="56"/>
      <c r="AG13" s="76" t="str">
        <f t="shared" si="10"/>
        <v>Dave</v>
      </c>
      <c r="AH13" s="64" t="str">
        <f t="shared" si="11"/>
        <v>okolica Črnomlja</v>
      </c>
      <c r="AI13" s="15"/>
      <c r="AJ13" s="42">
        <f t="shared" si="7"/>
        <v>0</v>
      </c>
      <c r="AK13" s="15"/>
      <c r="AL13" s="15"/>
      <c r="AM13" s="15"/>
      <c r="AN13" s="15"/>
      <c r="AO13" s="42">
        <f t="shared" si="8"/>
        <v>0</v>
      </c>
      <c r="AP13" s="15"/>
      <c r="AQ13" s="15"/>
      <c r="AR13" s="15"/>
      <c r="AS13" s="56"/>
      <c r="AT13" s="76" t="str">
        <f t="shared" si="12"/>
        <v>Dave</v>
      </c>
      <c r="AU13" s="64" t="str">
        <f t="shared" si="13"/>
        <v>okolica Črnomlja</v>
      </c>
      <c r="AV13" s="15">
        <v>491</v>
      </c>
      <c r="AW13" s="42">
        <f>AV13/BP13</f>
        <v>36.861861861861861</v>
      </c>
      <c r="AX13" s="15"/>
      <c r="AY13" s="15"/>
      <c r="AZ13" s="15">
        <v>599</v>
      </c>
      <c r="BA13" s="15"/>
      <c r="BB13" s="42"/>
      <c r="BC13" s="15"/>
      <c r="BD13" s="15"/>
      <c r="BE13" s="15"/>
      <c r="BF13" s="57"/>
      <c r="BG13" s="15"/>
      <c r="BH13" s="15"/>
      <c r="BI13" s="16"/>
      <c r="BJ13" s="15"/>
      <c r="BK13" s="30">
        <f t="shared" si="9"/>
        <v>0</v>
      </c>
      <c r="BL13" s="22"/>
      <c r="BM13" s="15">
        <f>SE_2023!F13</f>
        <v>1135.885885885886</v>
      </c>
      <c r="BN13" s="15">
        <f>SE_2023!G13</f>
        <v>1132.8828828828828</v>
      </c>
      <c r="BO13" s="15">
        <f>SE_2023!H13</f>
        <v>0</v>
      </c>
      <c r="BP13" s="15">
        <f>SE_2023!I13</f>
        <v>13.32</v>
      </c>
      <c r="BQ13" s="15">
        <f>SE_2023!J13</f>
        <v>132</v>
      </c>
      <c r="BR13" s="15">
        <f>SE_2023!K13</f>
        <v>30</v>
      </c>
      <c r="BS13" s="15">
        <f>SE_2023!L13</f>
        <v>13.6</v>
      </c>
      <c r="BT13" s="15">
        <f>SE_2023!M13</f>
        <v>13.4</v>
      </c>
      <c r="BU13" s="16">
        <f>SE_2023!N13</f>
        <v>0</v>
      </c>
      <c r="BV13" s="6"/>
      <c r="BW13" s="1" t="s">
        <v>414</v>
      </c>
    </row>
    <row r="14" spans="1:75" ht="18.5" x14ac:dyDescent="0.35">
      <c r="A14" s="28">
        <f>SE_2023!A14</f>
        <v>11</v>
      </c>
      <c r="B14" s="33" t="str">
        <f>SE_2023!$B14</f>
        <v>MAGS</v>
      </c>
      <c r="C14" s="16" t="str">
        <f>SE_2023!$C14</f>
        <v>okolica Novega mesta</v>
      </c>
      <c r="D14" s="15"/>
      <c r="E14" s="42">
        <f t="shared" si="2"/>
        <v>0</v>
      </c>
      <c r="F14" s="15"/>
      <c r="G14" s="42">
        <f t="shared" si="3"/>
        <v>0</v>
      </c>
      <c r="H14" s="15"/>
      <c r="I14" s="15"/>
      <c r="J14" s="15"/>
      <c r="K14" s="28"/>
      <c r="L14" s="33" t="str">
        <f>SE_2023!$B14</f>
        <v>MAGS</v>
      </c>
      <c r="M14" s="16" t="str">
        <f>SE_2023!$C14</f>
        <v>okolica Novega mesta</v>
      </c>
      <c r="N14" s="15"/>
      <c r="O14" s="42">
        <f t="shared" si="4"/>
        <v>0</v>
      </c>
      <c r="P14" s="15"/>
      <c r="Q14" s="15"/>
      <c r="R14" s="15"/>
      <c r="S14" s="15"/>
      <c r="T14" s="33" t="str">
        <f>SE_2023!$B14</f>
        <v>MAGS</v>
      </c>
      <c r="U14" s="16" t="str">
        <f>SE_2023!$C14</f>
        <v>okolica Novega mesta</v>
      </c>
      <c r="V14" s="15">
        <v>914</v>
      </c>
      <c r="W14" s="42">
        <f t="shared" si="5"/>
        <v>81.973094170403584</v>
      </c>
      <c r="X14" s="15">
        <v>1081</v>
      </c>
      <c r="Y14" s="15"/>
      <c r="Z14" s="15"/>
      <c r="AA14" s="15">
        <v>917</v>
      </c>
      <c r="AB14" s="42">
        <f t="shared" si="6"/>
        <v>82.242152466367713</v>
      </c>
      <c r="AC14" s="15">
        <v>1060</v>
      </c>
      <c r="AD14" s="15"/>
      <c r="AE14" s="15"/>
      <c r="AF14" s="56"/>
      <c r="AG14" s="76" t="str">
        <f t="shared" si="10"/>
        <v>MAGS</v>
      </c>
      <c r="AH14" s="64" t="str">
        <f t="shared" si="11"/>
        <v>okolica Novega mesta</v>
      </c>
      <c r="AI14" s="15"/>
      <c r="AJ14" s="42">
        <f t="shared" si="7"/>
        <v>0</v>
      </c>
      <c r="AK14" s="15"/>
      <c r="AL14" s="15"/>
      <c r="AM14" s="15"/>
      <c r="AN14" s="15"/>
      <c r="AO14" s="42">
        <f t="shared" si="8"/>
        <v>0</v>
      </c>
      <c r="AP14" s="15"/>
      <c r="AQ14" s="15"/>
      <c r="AR14" s="15"/>
      <c r="AS14" s="56"/>
      <c r="AT14" s="76" t="str">
        <f t="shared" si="12"/>
        <v>MAGS</v>
      </c>
      <c r="AU14" s="64" t="str">
        <f t="shared" si="13"/>
        <v>okolica Novega mesta</v>
      </c>
      <c r="AV14" s="15">
        <v>335</v>
      </c>
      <c r="AW14" s="42">
        <f>AV14/BP14</f>
        <v>30.044843049327355</v>
      </c>
      <c r="AX14" s="15">
        <v>1535</v>
      </c>
      <c r="AY14" s="15">
        <v>285.5</v>
      </c>
      <c r="AZ14" s="15">
        <v>834</v>
      </c>
      <c r="BA14" s="15">
        <v>197</v>
      </c>
      <c r="BB14" s="42">
        <f>BA14/BP14</f>
        <v>17.668161434977577</v>
      </c>
      <c r="BC14" s="15">
        <v>1142</v>
      </c>
      <c r="BD14" s="15"/>
      <c r="BE14" s="15">
        <v>708</v>
      </c>
      <c r="BF14" s="57"/>
      <c r="BG14" s="15">
        <v>3.4</v>
      </c>
      <c r="BH14" s="30">
        <f>BG14/BP14</f>
        <v>0.30493273542600896</v>
      </c>
      <c r="BI14" s="16" t="s">
        <v>342</v>
      </c>
      <c r="BJ14" s="15">
        <v>15.7</v>
      </c>
      <c r="BK14" s="30">
        <f t="shared" si="9"/>
        <v>1.4080717488789236</v>
      </c>
      <c r="BL14" s="16" t="s">
        <v>341</v>
      </c>
      <c r="BM14" s="15">
        <f>SE_2023!F14</f>
        <v>0</v>
      </c>
      <c r="BN14" s="15">
        <f>SE_2023!G14</f>
        <v>968.60986547085201</v>
      </c>
      <c r="BO14" s="15">
        <f>SE_2023!H14</f>
        <v>1103.1390134529147</v>
      </c>
      <c r="BP14" s="15">
        <f>SE_2023!I14</f>
        <v>11.15</v>
      </c>
      <c r="BQ14" s="15">
        <f>SE_2023!J14</f>
        <v>110</v>
      </c>
      <c r="BR14" s="15">
        <f>SE_2023!K14</f>
        <v>30</v>
      </c>
      <c r="BS14" s="15">
        <f>SE_2023!L14</f>
        <v>11.2</v>
      </c>
      <c r="BT14" s="15">
        <f>SE_2023!M14</f>
        <v>11.11</v>
      </c>
      <c r="BU14" s="16" t="str">
        <f>SE_2023!N14</f>
        <v>Zagon aprila 2020</v>
      </c>
      <c r="BW14" s="1" t="s">
        <v>415</v>
      </c>
    </row>
    <row r="15" spans="1:75" ht="18.5" x14ac:dyDescent="0.35">
      <c r="A15" s="28">
        <f>SE_2023!A15</f>
        <v>12</v>
      </c>
      <c r="B15" s="33" t="str">
        <f>SE_2023!$B15</f>
        <v>Fery</v>
      </c>
      <c r="C15" s="16" t="str">
        <f>SE_2023!$C15</f>
        <v>Cerknica</v>
      </c>
      <c r="D15" s="15"/>
      <c r="E15" s="42">
        <f t="shared" si="2"/>
        <v>0</v>
      </c>
      <c r="F15" s="15"/>
      <c r="G15" s="42">
        <f t="shared" si="3"/>
        <v>0</v>
      </c>
      <c r="H15" s="15"/>
      <c r="I15" s="15"/>
      <c r="J15" s="15"/>
      <c r="K15" s="28"/>
      <c r="L15" s="33" t="str">
        <f>SE_2023!$B15</f>
        <v>Fery</v>
      </c>
      <c r="M15" s="16" t="str">
        <f>SE_2023!$C15</f>
        <v>Cerknica</v>
      </c>
      <c r="N15" s="15"/>
      <c r="O15" s="42">
        <f t="shared" si="4"/>
        <v>0</v>
      </c>
      <c r="P15" s="15"/>
      <c r="Q15" s="15"/>
      <c r="R15" s="15"/>
      <c r="S15" s="15"/>
      <c r="T15" s="33" t="str">
        <f>SE_2023!$B15</f>
        <v>Fery</v>
      </c>
      <c r="U15" s="16" t="str">
        <f>SE_2023!$C15</f>
        <v>Cerknica</v>
      </c>
      <c r="V15" s="15"/>
      <c r="W15" s="42">
        <f t="shared" si="5"/>
        <v>0</v>
      </c>
      <c r="X15" s="15"/>
      <c r="Y15" s="15"/>
      <c r="Z15" s="15"/>
      <c r="AA15" s="15"/>
      <c r="AB15" s="42">
        <f t="shared" si="6"/>
        <v>0</v>
      </c>
      <c r="AC15" s="15"/>
      <c r="AD15" s="15"/>
      <c r="AE15" s="15"/>
      <c r="AF15" s="56"/>
      <c r="AG15" s="76" t="str">
        <f t="shared" si="10"/>
        <v>Fery</v>
      </c>
      <c r="AH15" s="64" t="str">
        <f t="shared" si="11"/>
        <v>Cerknica</v>
      </c>
      <c r="AI15" s="15">
        <v>795</v>
      </c>
      <c r="AJ15" s="42">
        <f t="shared" si="7"/>
        <v>50</v>
      </c>
      <c r="AK15" s="15"/>
      <c r="AL15" s="15"/>
      <c r="AM15" s="15"/>
      <c r="AN15" s="15">
        <v>1090</v>
      </c>
      <c r="AO15" s="42">
        <f t="shared" si="8"/>
        <v>68.55345911949685</v>
      </c>
      <c r="AP15" s="15"/>
      <c r="AQ15" s="15"/>
      <c r="AR15" s="15"/>
      <c r="AS15" s="56"/>
      <c r="AT15" s="76" t="str">
        <f t="shared" si="12"/>
        <v>Fery</v>
      </c>
      <c r="AU15" s="64" t="str">
        <f t="shared" si="13"/>
        <v>Cerknica</v>
      </c>
      <c r="AV15" s="15">
        <v>930</v>
      </c>
      <c r="AW15" s="42">
        <f>AV15/BP15</f>
        <v>58.490566037735846</v>
      </c>
      <c r="AX15" s="15"/>
      <c r="AY15" s="15"/>
      <c r="AZ15" s="15"/>
      <c r="BA15" s="15">
        <v>290</v>
      </c>
      <c r="BB15" s="42">
        <f>BA15/BP15</f>
        <v>18.238993710691823</v>
      </c>
      <c r="BC15" s="15"/>
      <c r="BD15" s="15"/>
      <c r="BE15" s="15"/>
      <c r="BF15" s="57"/>
      <c r="BG15" s="15"/>
      <c r="BH15" s="15"/>
      <c r="BI15" s="16"/>
      <c r="BJ15" s="15"/>
      <c r="BK15" s="30">
        <f t="shared" si="9"/>
        <v>0</v>
      </c>
      <c r="BL15" s="16"/>
      <c r="BM15" s="15">
        <f>SE_2023!F15</f>
        <v>0</v>
      </c>
      <c r="BN15" s="15">
        <f>SE_2023!G15</f>
        <v>1195.8333333333333</v>
      </c>
      <c r="BO15" s="15">
        <f>SE_2023!H15</f>
        <v>0</v>
      </c>
      <c r="BP15" s="15">
        <f>SE_2023!I15</f>
        <v>15.9</v>
      </c>
      <c r="BQ15" s="15">
        <f>SE_2023!J15</f>
        <v>180</v>
      </c>
      <c r="BR15" s="15">
        <f>SE_2023!K15</f>
        <v>41</v>
      </c>
      <c r="BS15" s="15">
        <f>SE_2023!L15</f>
        <v>0</v>
      </c>
      <c r="BT15" s="15">
        <f>SE_2023!M15</f>
        <v>10.8</v>
      </c>
      <c r="BU15" s="16" t="str">
        <f>SE_2023!N15</f>
        <v>zelo osenčeni paneli. Za leto 2025 15.9 kWp (za 2023, 12 kWp)</v>
      </c>
      <c r="BW15" s="1" t="s">
        <v>416</v>
      </c>
    </row>
    <row r="16" spans="1:75" ht="18.5" x14ac:dyDescent="0.35">
      <c r="A16" s="28">
        <f>SE_2023!A16</f>
        <v>13</v>
      </c>
      <c r="B16" s="33" t="str">
        <f>SE_2023!$B16</f>
        <v>ivč</v>
      </c>
      <c r="C16" s="16" t="str">
        <f>SE_2023!$C16</f>
        <v>Maribor vzhod</v>
      </c>
      <c r="D16" s="15">
        <v>13.3</v>
      </c>
      <c r="E16" s="42">
        <f t="shared" si="2"/>
        <v>1.3313313313313313</v>
      </c>
      <c r="F16" s="15"/>
      <c r="G16" s="42">
        <f t="shared" si="3"/>
        <v>0</v>
      </c>
      <c r="H16" s="15"/>
      <c r="I16" s="15"/>
      <c r="J16" s="15"/>
      <c r="K16" s="28"/>
      <c r="L16" s="33" t="str">
        <f>SE_2023!$B16</f>
        <v>ivč</v>
      </c>
      <c r="M16" s="16" t="str">
        <f>SE_2023!$C16</f>
        <v>Maribor vzhod</v>
      </c>
      <c r="N16" s="15"/>
      <c r="O16" s="42">
        <f t="shared" si="4"/>
        <v>0</v>
      </c>
      <c r="P16" s="15"/>
      <c r="Q16" s="15"/>
      <c r="R16" s="15"/>
      <c r="S16" s="15"/>
      <c r="T16" s="33" t="str">
        <f>SE_2023!$B16</f>
        <v>ivč</v>
      </c>
      <c r="U16" s="16" t="str">
        <f>SE_2023!$C16</f>
        <v>Maribor vzhod</v>
      </c>
      <c r="V16" s="15"/>
      <c r="W16" s="42">
        <f t="shared" si="5"/>
        <v>0</v>
      </c>
      <c r="X16" s="15"/>
      <c r="Y16" s="15"/>
      <c r="Z16" s="15"/>
      <c r="AA16" s="15"/>
      <c r="AB16" s="42">
        <f t="shared" si="6"/>
        <v>0</v>
      </c>
      <c r="AC16" s="15"/>
      <c r="AD16" s="15"/>
      <c r="AE16" s="15"/>
      <c r="AF16" s="56"/>
      <c r="AG16" s="76" t="str">
        <f t="shared" si="10"/>
        <v>ivč</v>
      </c>
      <c r="AH16" s="64" t="str">
        <f t="shared" si="11"/>
        <v>Maribor vzhod</v>
      </c>
      <c r="AI16" s="15"/>
      <c r="AJ16" s="42">
        <f t="shared" si="7"/>
        <v>0</v>
      </c>
      <c r="AK16" s="15"/>
      <c r="AL16" s="15"/>
      <c r="AM16" s="15"/>
      <c r="AN16" s="15"/>
      <c r="AO16" s="42">
        <f t="shared" si="8"/>
        <v>0</v>
      </c>
      <c r="AP16" s="15"/>
      <c r="AQ16" s="15"/>
      <c r="AR16" s="15"/>
      <c r="AS16" s="56"/>
      <c r="AT16" s="76" t="str">
        <f t="shared" si="12"/>
        <v>ivč</v>
      </c>
      <c r="AU16" s="64" t="str">
        <f t="shared" si="13"/>
        <v>Maribor vzhod</v>
      </c>
      <c r="AV16" s="15"/>
      <c r="AW16" s="42"/>
      <c r="AX16" s="15"/>
      <c r="AY16" s="15"/>
      <c r="AZ16" s="15"/>
      <c r="BA16" s="15"/>
      <c r="BB16" s="42"/>
      <c r="BC16" s="15"/>
      <c r="BD16" s="15"/>
      <c r="BE16" s="15"/>
      <c r="BF16" s="57"/>
      <c r="BG16" s="15"/>
      <c r="BH16" s="15"/>
      <c r="BI16" s="16"/>
      <c r="BJ16" s="15">
        <v>17.8</v>
      </c>
      <c r="BK16" s="30">
        <f t="shared" si="9"/>
        <v>1.7817817817817818</v>
      </c>
      <c r="BL16" s="22"/>
      <c r="BM16" s="15">
        <f>SE_2023!F16</f>
        <v>1036.2997658079626</v>
      </c>
      <c r="BN16" s="15">
        <f>SE_2023!G16</f>
        <v>1036.2997658079626</v>
      </c>
      <c r="BO16" s="15">
        <f>SE_2023!H16</f>
        <v>1159.2505854800938</v>
      </c>
      <c r="BP16" s="15">
        <f>SE_2023!I16</f>
        <v>9.99</v>
      </c>
      <c r="BQ16" s="15" t="str">
        <f>SE_2023!J16</f>
        <v>4.5 kW, 203
5.49 kW,  113</v>
      </c>
      <c r="BR16" s="15" t="str">
        <f>SE_2023!K16</f>
        <v>40
41</v>
      </c>
      <c r="BS16" s="15">
        <f>SE_2023!L16</f>
        <v>11</v>
      </c>
      <c r="BT16" s="15">
        <f>SE_2023!M16</f>
        <v>0</v>
      </c>
      <c r="BU16" s="16" t="str">
        <f>SE_2023!N16</f>
        <v>senčenje pozimi (sosed. hiša)
25.3.2025 popravljen azimut in naklon (prej SE1: 180 30, SE2: 90 30).
16.2.2026 povečanje moči z 8.54 kW na 10 kW. Dodani paneli v veji z
azimutom 203, moč povečana s 3.05 kW na 4.5 kW</v>
      </c>
      <c r="BW16" s="1" t="s">
        <v>417</v>
      </c>
    </row>
    <row r="17" spans="1:75" ht="18.5" x14ac:dyDescent="0.35">
      <c r="A17" s="28">
        <f>SE_2023!A17</f>
        <v>14</v>
      </c>
      <c r="B17" s="33" t="str">
        <f>SE_2023!$B17</f>
        <v>vip58</v>
      </c>
      <c r="C17" s="16" t="str">
        <f>SE_2023!$C17</f>
        <v>okolica Janč, 530 m n.v.</v>
      </c>
      <c r="D17" s="15">
        <v>37</v>
      </c>
      <c r="E17" s="42">
        <f t="shared" si="2"/>
        <v>3.1040268456375841</v>
      </c>
      <c r="F17" s="15">
        <v>1560</v>
      </c>
      <c r="G17" s="42">
        <f t="shared" si="3"/>
        <v>130.8724832214765</v>
      </c>
      <c r="H17" s="15">
        <v>417</v>
      </c>
      <c r="I17" s="15"/>
      <c r="J17" s="15"/>
      <c r="K17" s="28"/>
      <c r="L17" s="33" t="str">
        <f>SE_2023!$B17</f>
        <v>vip58</v>
      </c>
      <c r="M17" s="16" t="str">
        <f>SE_2023!$C17</f>
        <v>okolica Janč, 530 m n.v.</v>
      </c>
      <c r="N17" s="15">
        <v>1630</v>
      </c>
      <c r="O17" s="42">
        <f t="shared" si="4"/>
        <v>136.74496644295303</v>
      </c>
      <c r="P17" s="15">
        <v>666</v>
      </c>
      <c r="Q17" s="15"/>
      <c r="R17" s="15"/>
      <c r="S17" s="15"/>
      <c r="T17" s="33" t="str">
        <f>SE_2023!$B17</f>
        <v>vip58</v>
      </c>
      <c r="U17" s="16" t="str">
        <f>SE_2023!$C17</f>
        <v>okolica Janč, 530 m n.v.</v>
      </c>
      <c r="V17" s="15">
        <v>1153</v>
      </c>
      <c r="W17" s="42">
        <f t="shared" si="5"/>
        <v>96.728187919463082</v>
      </c>
      <c r="X17" s="15">
        <v>835</v>
      </c>
      <c r="Y17" s="15"/>
      <c r="Z17" s="15"/>
      <c r="AA17" s="15">
        <v>1164</v>
      </c>
      <c r="AB17" s="42">
        <f t="shared" si="6"/>
        <v>97.651006711409394</v>
      </c>
      <c r="AC17" s="15">
        <v>905</v>
      </c>
      <c r="AD17" s="15"/>
      <c r="AE17" s="15"/>
      <c r="AF17" s="56"/>
      <c r="AG17" s="76" t="str">
        <f t="shared" si="10"/>
        <v>vip58</v>
      </c>
      <c r="AH17" s="64" t="str">
        <f t="shared" si="11"/>
        <v>okolica Janč, 530 m n.v.</v>
      </c>
      <c r="AI17" s="15"/>
      <c r="AJ17" s="42">
        <f t="shared" si="7"/>
        <v>0</v>
      </c>
      <c r="AK17" s="15"/>
      <c r="AL17" s="15"/>
      <c r="AM17" s="15"/>
      <c r="AN17" s="15"/>
      <c r="AO17" s="42">
        <f t="shared" si="8"/>
        <v>0</v>
      </c>
      <c r="AP17" s="15"/>
      <c r="AQ17" s="15"/>
      <c r="AR17" s="15"/>
      <c r="AS17" s="56"/>
      <c r="AT17" s="76" t="str">
        <f t="shared" si="12"/>
        <v>vip58</v>
      </c>
      <c r="AU17" s="64" t="str">
        <f t="shared" si="13"/>
        <v>okolica Janč, 530 m n.v.</v>
      </c>
      <c r="AV17" s="15">
        <v>805</v>
      </c>
      <c r="AW17" s="42">
        <f>AV17/BP17</f>
        <v>67.533557046979865</v>
      </c>
      <c r="AX17" s="15">
        <v>1320</v>
      </c>
      <c r="AY17" s="15"/>
      <c r="AZ17" s="15">
        <v>846</v>
      </c>
      <c r="BA17" s="15">
        <v>358</v>
      </c>
      <c r="BB17" s="42">
        <f>BA17/BP17</f>
        <v>30.033557046979865</v>
      </c>
      <c r="BC17" s="15">
        <v>1290</v>
      </c>
      <c r="BD17" s="15"/>
      <c r="BE17" s="15">
        <v>912</v>
      </c>
      <c r="BF17" s="57"/>
      <c r="BG17" s="15">
        <v>6.5</v>
      </c>
      <c r="BH17" s="30">
        <f>BG17/BP17</f>
        <v>0.54530201342281881</v>
      </c>
      <c r="BI17" s="16" t="s">
        <v>362</v>
      </c>
      <c r="BJ17" s="15">
        <v>32.700000000000003</v>
      </c>
      <c r="BK17" s="30">
        <f t="shared" si="9"/>
        <v>2.7432885906040272</v>
      </c>
      <c r="BL17" s="16" t="s">
        <v>361</v>
      </c>
      <c r="BM17" s="15">
        <f>SE_2023!F17</f>
        <v>1235.7382550335572</v>
      </c>
      <c r="BN17" s="15">
        <f>SE_2023!G17</f>
        <v>1201.3422818791946</v>
      </c>
      <c r="BO17" s="15">
        <f>SE_2023!H17</f>
        <v>0</v>
      </c>
      <c r="BP17" s="15">
        <f>SE_2023!I17</f>
        <v>11.92</v>
      </c>
      <c r="BQ17" s="15" t="str">
        <f>SE_2023!J17</f>
        <v>9.33 kW, 165
2.59 kW, 210</v>
      </c>
      <c r="BR17" s="15" t="str">
        <f>SE_2023!K17</f>
        <v>35
35</v>
      </c>
      <c r="BS17" s="15">
        <f>SE_2023!L17</f>
        <v>11.1</v>
      </c>
      <c r="BT17" s="15">
        <f>SE_2023!M17</f>
        <v>10.8</v>
      </c>
      <c r="BU17" s="16" t="str">
        <f>SE_2023!N17</f>
        <v>nekaj senčenja, v idealnih razmerah bi pridelala 1300Kwh več</v>
      </c>
      <c r="BW17" s="1"/>
    </row>
    <row r="18" spans="1:75" ht="18.5" x14ac:dyDescent="0.35">
      <c r="A18" s="28">
        <f>SE_2023!A18</f>
        <v>15</v>
      </c>
      <c r="B18" s="33" t="str">
        <f>SE_2023!$B18</f>
        <v>du77a</v>
      </c>
      <c r="C18" s="16" t="str">
        <f>SE_2023!$C18</f>
        <v>Domžale</v>
      </c>
      <c r="D18" s="15">
        <v>44.5</v>
      </c>
      <c r="E18" s="42">
        <f t="shared" si="2"/>
        <v>3.6223036223036225</v>
      </c>
      <c r="F18" s="15"/>
      <c r="G18" s="42">
        <f t="shared" si="3"/>
        <v>0</v>
      </c>
      <c r="H18" s="15"/>
      <c r="I18" s="15"/>
      <c r="J18" s="15"/>
      <c r="K18" s="28"/>
      <c r="L18" s="33" t="str">
        <f>SE_2023!$B18</f>
        <v>du77a</v>
      </c>
      <c r="M18" s="16" t="str">
        <f>SE_2023!$C18</f>
        <v>Domžale</v>
      </c>
      <c r="N18" s="15"/>
      <c r="O18" s="42">
        <f t="shared" si="4"/>
        <v>0</v>
      </c>
      <c r="P18" s="15"/>
      <c r="Q18" s="15"/>
      <c r="R18" s="15"/>
      <c r="S18" s="15"/>
      <c r="T18" s="33" t="str">
        <f>SE_2023!$B18</f>
        <v>du77a</v>
      </c>
      <c r="U18" s="16" t="str">
        <f>SE_2023!$C18</f>
        <v>Domžale</v>
      </c>
      <c r="V18" s="15">
        <v>1136</v>
      </c>
      <c r="W18" s="42">
        <f t="shared" si="5"/>
        <v>92.470492470492474</v>
      </c>
      <c r="X18" s="15">
        <v>948</v>
      </c>
      <c r="Y18" s="15"/>
      <c r="Z18" s="15"/>
      <c r="AA18" s="15">
        <v>1089</v>
      </c>
      <c r="AB18" s="42">
        <f t="shared" si="6"/>
        <v>88.644688644688642</v>
      </c>
      <c r="AC18" s="15">
        <v>737</v>
      </c>
      <c r="AD18" s="15"/>
      <c r="AE18" s="15"/>
      <c r="AF18" s="56"/>
      <c r="AG18" s="76" t="str">
        <f t="shared" si="10"/>
        <v>du77a</v>
      </c>
      <c r="AH18" s="64" t="str">
        <f t="shared" si="11"/>
        <v>Domžale</v>
      </c>
      <c r="AI18" s="15"/>
      <c r="AJ18" s="42">
        <f t="shared" si="7"/>
        <v>0</v>
      </c>
      <c r="AK18" s="15"/>
      <c r="AL18" s="15"/>
      <c r="AM18" s="15"/>
      <c r="AN18" s="15"/>
      <c r="AO18" s="42">
        <f t="shared" si="8"/>
        <v>0</v>
      </c>
      <c r="AP18" s="15"/>
      <c r="AQ18" s="15"/>
      <c r="AR18" s="15"/>
      <c r="AS18" s="56"/>
      <c r="AT18" s="76" t="str">
        <f t="shared" si="12"/>
        <v>du77a</v>
      </c>
      <c r="AU18" s="64" t="str">
        <f t="shared" si="13"/>
        <v>Domžale</v>
      </c>
      <c r="AV18" s="15">
        <v>715</v>
      </c>
      <c r="AW18" s="42">
        <f>AV18/BP18</f>
        <v>58.201058201058203</v>
      </c>
      <c r="AX18" s="15">
        <v>1410</v>
      </c>
      <c r="AY18" s="15"/>
      <c r="AZ18" s="15">
        <v>775</v>
      </c>
      <c r="BA18" s="15">
        <v>396</v>
      </c>
      <c r="BB18" s="42">
        <f>BA18/BP18</f>
        <v>32.234432234432234</v>
      </c>
      <c r="BC18" s="15"/>
      <c r="BD18" s="15"/>
      <c r="BE18" s="15"/>
      <c r="BF18" s="57"/>
      <c r="BG18" s="15">
        <v>2.2999999999999998</v>
      </c>
      <c r="BH18" s="30">
        <f>BG18/BP18</f>
        <v>0.18722018722018721</v>
      </c>
      <c r="BI18" s="16"/>
      <c r="BJ18" s="15">
        <v>39.299999999999997</v>
      </c>
      <c r="BK18" s="30">
        <f t="shared" si="9"/>
        <v>3.1990231990231988</v>
      </c>
      <c r="BL18" s="16"/>
      <c r="BM18" s="15">
        <f>SE_2023!F18</f>
        <v>1142.8571428571429</v>
      </c>
      <c r="BN18" s="15">
        <f>SE_2023!G18</f>
        <v>1188.4411884411884</v>
      </c>
      <c r="BO18" s="15">
        <f>SE_2023!H18</f>
        <v>0</v>
      </c>
      <c r="BP18" s="15">
        <f>SE_2023!I18</f>
        <v>12.285</v>
      </c>
      <c r="BQ18" s="15">
        <f>SE_2023!J18</f>
        <v>165</v>
      </c>
      <c r="BR18" s="15">
        <f>SE_2023!K18</f>
        <v>37</v>
      </c>
      <c r="BS18" s="15">
        <f>SE_2023!L18</f>
        <v>11.2</v>
      </c>
      <c r="BT18" s="15">
        <f>SE_2023!M18</f>
        <v>11.1</v>
      </c>
      <c r="BU18" s="16" t="str">
        <f>SE_2023!N18</f>
        <v>senčenje 8 panelov zaradi oblike hiše
priklop november 2022, takrat 628 kWh</v>
      </c>
      <c r="BW18" s="1" t="s">
        <v>418</v>
      </c>
    </row>
    <row r="19" spans="1:75" ht="18.5" x14ac:dyDescent="0.35">
      <c r="A19" s="28">
        <f>SE_2023!A19</f>
        <v>16</v>
      </c>
      <c r="B19" s="33" t="str">
        <f>SE_2023!$B19</f>
        <v>Kvc</v>
      </c>
      <c r="C19" s="16" t="str">
        <f>SE_2023!$C19</f>
        <v>Prlekija</v>
      </c>
      <c r="D19" s="15">
        <v>27</v>
      </c>
      <c r="E19" s="42">
        <f t="shared" si="2"/>
        <v>4</v>
      </c>
      <c r="F19" s="15"/>
      <c r="G19" s="42">
        <f t="shared" si="3"/>
        <v>0</v>
      </c>
      <c r="H19" s="15"/>
      <c r="I19" s="15"/>
      <c r="J19" s="15"/>
      <c r="K19" s="28"/>
      <c r="L19" s="33" t="str">
        <f>SE_2023!$B19</f>
        <v>Kvc</v>
      </c>
      <c r="M19" s="16" t="str">
        <f>SE_2023!$C19</f>
        <v>Prlekija</v>
      </c>
      <c r="N19" s="15"/>
      <c r="O19" s="42">
        <f t="shared" si="4"/>
        <v>0</v>
      </c>
      <c r="P19" s="15"/>
      <c r="Q19" s="15"/>
      <c r="R19" s="15"/>
      <c r="S19" s="15"/>
      <c r="T19" s="33" t="str">
        <f>SE_2023!$B19</f>
        <v>Kvc</v>
      </c>
      <c r="U19" s="16" t="str">
        <f>SE_2023!$C19</f>
        <v>Prlekija</v>
      </c>
      <c r="V19" s="15">
        <v>758</v>
      </c>
      <c r="W19" s="42">
        <f t="shared" si="5"/>
        <v>112.29629629629629</v>
      </c>
      <c r="X19" s="15">
        <v>659</v>
      </c>
      <c r="Y19" s="15"/>
      <c r="Z19" s="15">
        <v>290</v>
      </c>
      <c r="AA19" s="15">
        <v>824</v>
      </c>
      <c r="AB19" s="42">
        <f t="shared" si="6"/>
        <v>122.07407407407408</v>
      </c>
      <c r="AC19" s="15">
        <v>695</v>
      </c>
      <c r="AD19" s="15"/>
      <c r="AE19" s="15">
        <v>304</v>
      </c>
      <c r="AF19" s="56"/>
      <c r="AG19" s="76" t="str">
        <f t="shared" si="10"/>
        <v>Kvc</v>
      </c>
      <c r="AH19" s="64" t="str">
        <f t="shared" si="11"/>
        <v>Prlekija</v>
      </c>
      <c r="AI19" s="15"/>
      <c r="AJ19" s="42">
        <f t="shared" si="7"/>
        <v>0</v>
      </c>
      <c r="AK19" s="15"/>
      <c r="AL19" s="15"/>
      <c r="AM19" s="15"/>
      <c r="AN19" s="15"/>
      <c r="AO19" s="42">
        <f t="shared" si="8"/>
        <v>0</v>
      </c>
      <c r="AP19" s="15"/>
      <c r="AQ19" s="15"/>
      <c r="AR19" s="15"/>
      <c r="AS19" s="56"/>
      <c r="AT19" s="76" t="str">
        <f t="shared" si="12"/>
        <v>Kvc</v>
      </c>
      <c r="AU19" s="64" t="str">
        <f t="shared" si="13"/>
        <v>Prlekija</v>
      </c>
      <c r="AV19" s="15">
        <v>535</v>
      </c>
      <c r="AW19" s="42">
        <f>AV19/BP19</f>
        <v>79.259259259259252</v>
      </c>
      <c r="AX19" s="15">
        <v>859</v>
      </c>
      <c r="AY19" s="15"/>
      <c r="AZ19" s="15">
        <v>408</v>
      </c>
      <c r="BA19" s="15">
        <v>333</v>
      </c>
      <c r="BB19" s="42">
        <f>BA19/BP19</f>
        <v>49.333333333333336</v>
      </c>
      <c r="BC19" s="15">
        <v>887</v>
      </c>
      <c r="BD19" s="15"/>
      <c r="BE19" s="15">
        <v>379</v>
      </c>
      <c r="BF19" s="57"/>
      <c r="BG19" s="15"/>
      <c r="BH19" s="15"/>
      <c r="BI19" s="16"/>
      <c r="BJ19" s="15"/>
      <c r="BK19" s="30">
        <f t="shared" si="9"/>
        <v>0</v>
      </c>
      <c r="BL19" s="16"/>
      <c r="BM19" s="15">
        <f>SE_2023!F19</f>
        <v>1377.7777777777778</v>
      </c>
      <c r="BN19" s="15">
        <f>SE_2023!G19</f>
        <v>1384.5925925925926</v>
      </c>
      <c r="BO19" s="15">
        <f>SE_2023!H19</f>
        <v>1435.5555555555557</v>
      </c>
      <c r="BP19" s="15">
        <f>SE_2023!I19</f>
        <v>6.75</v>
      </c>
      <c r="BQ19" s="15">
        <f>SE_2023!J19</f>
        <v>189</v>
      </c>
      <c r="BR19" s="15">
        <f>SE_2023!K19</f>
        <v>35</v>
      </c>
      <c r="BS19" s="15">
        <f>SE_2023!L19</f>
        <v>6.75</v>
      </c>
      <c r="BT19" s="15">
        <f>SE_2023!M19</f>
        <v>6.6</v>
      </c>
      <c r="BU19" s="16">
        <f>SE_2023!N19</f>
        <v>0</v>
      </c>
      <c r="BW19" s="1" t="s">
        <v>419</v>
      </c>
    </row>
    <row r="20" spans="1:75" ht="18.5" x14ac:dyDescent="0.35">
      <c r="A20" s="28">
        <f>SE_2023!A20</f>
        <v>17</v>
      </c>
      <c r="B20" s="33" t="str">
        <f>SE_2023!$B20</f>
        <v>Unika542</v>
      </c>
      <c r="C20" s="16" t="str">
        <f>SE_2023!$C20</f>
        <v>okolica Ivančne gorice</v>
      </c>
      <c r="D20" s="15"/>
      <c r="E20" s="42">
        <f t="shared" si="2"/>
        <v>0</v>
      </c>
      <c r="F20" s="15"/>
      <c r="G20" s="42">
        <f t="shared" si="3"/>
        <v>0</v>
      </c>
      <c r="H20" s="15"/>
      <c r="I20" s="15"/>
      <c r="J20" s="15"/>
      <c r="K20" s="28"/>
      <c r="L20" s="33" t="str">
        <f>SE_2023!$B20</f>
        <v>Unika542</v>
      </c>
      <c r="M20" s="16" t="str">
        <f>SE_2023!$C20</f>
        <v>okolica Ivančne gorice</v>
      </c>
      <c r="N20" s="15"/>
      <c r="O20" s="42">
        <f t="shared" si="4"/>
        <v>0</v>
      </c>
      <c r="P20" s="15"/>
      <c r="Q20" s="15"/>
      <c r="R20" s="15"/>
      <c r="S20" s="15"/>
      <c r="T20" s="33" t="str">
        <f>SE_2023!$B20</f>
        <v>Unika542</v>
      </c>
      <c r="U20" s="16" t="str">
        <f>SE_2023!$C20</f>
        <v>okolica Ivančne gorice</v>
      </c>
      <c r="V20" s="15"/>
      <c r="W20" s="42">
        <f t="shared" si="5"/>
        <v>0</v>
      </c>
      <c r="X20" s="15"/>
      <c r="Y20" s="15"/>
      <c r="Z20" s="15"/>
      <c r="AA20" s="15"/>
      <c r="AB20" s="42">
        <f t="shared" si="6"/>
        <v>0</v>
      </c>
      <c r="AC20" s="15"/>
      <c r="AD20" s="15"/>
      <c r="AE20" s="15"/>
      <c r="AF20" s="56"/>
      <c r="AG20" s="76" t="str">
        <f t="shared" si="10"/>
        <v>Unika542</v>
      </c>
      <c r="AH20" s="64" t="str">
        <f t="shared" si="11"/>
        <v>okolica Ivančne gorice</v>
      </c>
      <c r="AI20" s="15"/>
      <c r="AJ20" s="42">
        <f t="shared" si="7"/>
        <v>0</v>
      </c>
      <c r="AK20" s="15"/>
      <c r="AL20" s="15"/>
      <c r="AM20" s="15"/>
      <c r="AN20" s="15"/>
      <c r="AO20" s="42">
        <f t="shared" si="8"/>
        <v>0</v>
      </c>
      <c r="AP20" s="15"/>
      <c r="AQ20" s="15"/>
      <c r="AR20" s="15"/>
      <c r="AS20" s="56"/>
      <c r="AT20" s="76" t="str">
        <f t="shared" si="12"/>
        <v>Unika542</v>
      </c>
      <c r="AU20" s="64" t="str">
        <f t="shared" si="13"/>
        <v>okolica Ivančne gorice</v>
      </c>
      <c r="AV20" s="15"/>
      <c r="AW20" s="42"/>
      <c r="AX20" s="15"/>
      <c r="AY20" s="15"/>
      <c r="AZ20" s="15"/>
      <c r="BA20" s="15"/>
      <c r="BB20" s="42"/>
      <c r="BC20" s="15"/>
      <c r="BD20" s="15"/>
      <c r="BE20" s="15"/>
      <c r="BF20" s="57"/>
      <c r="BG20" s="15"/>
      <c r="BH20" s="15"/>
      <c r="BI20" s="16"/>
      <c r="BJ20" s="15"/>
      <c r="BK20" s="30">
        <f t="shared" si="9"/>
        <v>0</v>
      </c>
      <c r="BL20" s="16"/>
      <c r="BM20" s="15">
        <f>SE_2023!F20</f>
        <v>0</v>
      </c>
      <c r="BN20" s="15">
        <f>SE_2023!G20</f>
        <v>1111.5129596142253</v>
      </c>
      <c r="BO20" s="15">
        <f>SE_2023!H20</f>
        <v>0</v>
      </c>
      <c r="BP20" s="15">
        <f>SE_2023!I20</f>
        <v>8.2949999999999999</v>
      </c>
      <c r="BQ20" s="15" t="str">
        <f>SE_2023!J20</f>
        <v>4.345 kW, 129
3.95 kW, 210</v>
      </c>
      <c r="BR20" s="15" t="str">
        <f>SE_2023!K20</f>
        <v>40
40</v>
      </c>
      <c r="BS20" s="15">
        <f>SE_2023!L20</f>
        <v>8.2899999999999991</v>
      </c>
      <c r="BT20" s="15">
        <f>SE_2023!M20</f>
        <v>7.9</v>
      </c>
      <c r="BU20" s="16">
        <f>SE_2023!N20</f>
        <v>0</v>
      </c>
      <c r="BW20" s="1" t="s">
        <v>420</v>
      </c>
    </row>
    <row r="21" spans="1:75" ht="35.5" customHeight="1" x14ac:dyDescent="0.35">
      <c r="A21" s="28">
        <f>SE_2023!A21</f>
        <v>18</v>
      </c>
      <c r="B21" s="33" t="str">
        <f>SE_2023!$B21</f>
        <v>Fantocci2</v>
      </c>
      <c r="C21" s="16" t="str">
        <f>SE_2023!$C21</f>
        <v>Posavje</v>
      </c>
      <c r="D21" s="15">
        <v>37.6</v>
      </c>
      <c r="E21" s="42">
        <f t="shared" si="2"/>
        <v>4.2727272727272725</v>
      </c>
      <c r="F21" s="15">
        <v>1250</v>
      </c>
      <c r="G21" s="42">
        <f t="shared" si="3"/>
        <v>142.04545454545453</v>
      </c>
      <c r="H21" s="15">
        <f>F21+214-1036</f>
        <v>428</v>
      </c>
      <c r="I21" s="15"/>
      <c r="J21" s="15"/>
      <c r="K21" s="28"/>
      <c r="L21" s="33" t="str">
        <f>SE_2023!$B21</f>
        <v>Fantocci2</v>
      </c>
      <c r="M21" s="16" t="str">
        <f>SE_2023!$C21</f>
        <v>Posavje</v>
      </c>
      <c r="N21" s="15">
        <v>1310</v>
      </c>
      <c r="O21" s="42">
        <f t="shared" si="4"/>
        <v>148.86363636363635</v>
      </c>
      <c r="P21" s="15">
        <f>N21+248-1118</f>
        <v>440</v>
      </c>
      <c r="Q21" s="15"/>
      <c r="R21" s="15"/>
      <c r="S21" s="15"/>
      <c r="T21" s="33" t="str">
        <f>SE_2023!$B21</f>
        <v>Fantocci2</v>
      </c>
      <c r="U21" s="16" t="str">
        <f>SE_2023!$C21</f>
        <v>Posavje</v>
      </c>
      <c r="V21" s="15">
        <v>947</v>
      </c>
      <c r="W21" s="42">
        <f t="shared" si="5"/>
        <v>107.61363636363636</v>
      </c>
      <c r="X21" s="15">
        <f>V21+382-747</f>
        <v>582</v>
      </c>
      <c r="Y21" s="15"/>
      <c r="Z21" s="15"/>
      <c r="AA21" s="15"/>
      <c r="AB21" s="42">
        <f t="shared" si="6"/>
        <v>0</v>
      </c>
      <c r="AC21" s="15"/>
      <c r="AD21" s="15"/>
      <c r="AE21" s="15"/>
      <c r="AF21" s="56"/>
      <c r="AG21" s="76" t="str">
        <f t="shared" si="10"/>
        <v>Fantocci2</v>
      </c>
      <c r="AH21" s="64" t="str">
        <f t="shared" si="11"/>
        <v>Posavje</v>
      </c>
      <c r="AI21" s="15">
        <v>747</v>
      </c>
      <c r="AJ21" s="42">
        <f t="shared" si="7"/>
        <v>84.886363636363626</v>
      </c>
      <c r="AK21" s="15">
        <f>AI21+443.6-563.3</f>
        <v>627.29999999999995</v>
      </c>
      <c r="AL21" s="15"/>
      <c r="AM21" s="15"/>
      <c r="AN21" s="15"/>
      <c r="AO21" s="42">
        <f t="shared" si="8"/>
        <v>0</v>
      </c>
      <c r="AP21" s="15"/>
      <c r="AQ21" s="15"/>
      <c r="AR21" s="15"/>
      <c r="AS21" s="56"/>
      <c r="AT21" s="76" t="str">
        <f t="shared" si="12"/>
        <v>Fantocci2</v>
      </c>
      <c r="AU21" s="64" t="str">
        <f t="shared" si="13"/>
        <v>Posavje</v>
      </c>
      <c r="AV21" s="15">
        <v>692</v>
      </c>
      <c r="AW21" s="42">
        <f t="shared" ref="AW21:AW27" si="14">AV21/BP21</f>
        <v>78.636363636363626</v>
      </c>
      <c r="AX21" s="15">
        <f>692+696-505</f>
        <v>883</v>
      </c>
      <c r="AY21" s="15"/>
      <c r="AZ21" s="15"/>
      <c r="BA21" s="15"/>
      <c r="BB21" s="42"/>
      <c r="BC21" s="15"/>
      <c r="BD21" s="15"/>
      <c r="BE21" s="15"/>
      <c r="BF21" s="57"/>
      <c r="BG21" s="15"/>
      <c r="BH21" s="15"/>
      <c r="BI21" s="16"/>
      <c r="BJ21" s="15"/>
      <c r="BK21" s="30">
        <f t="shared" si="9"/>
        <v>0</v>
      </c>
      <c r="BL21" s="16"/>
      <c r="BM21" s="15">
        <f>SE_2023!F21</f>
        <v>1359.090909090909</v>
      </c>
      <c r="BN21" s="15">
        <f>SE_2023!G21</f>
        <v>927.27272727272725</v>
      </c>
      <c r="BO21" s="15">
        <f>SE_2023!H21</f>
        <v>0</v>
      </c>
      <c r="BP21" s="15">
        <f>SE_2023!I21</f>
        <v>8.8000000000000007</v>
      </c>
      <c r="BQ21" s="15">
        <f>SE_2023!J21</f>
        <v>182</v>
      </c>
      <c r="BR21" s="15">
        <f>SE_2023!K21</f>
        <v>38</v>
      </c>
      <c r="BS21" s="15">
        <f>SE_2023!L21</f>
        <v>11.2</v>
      </c>
      <c r="BT21" s="15">
        <f>SE_2023!M21</f>
        <v>11.2</v>
      </c>
      <c r="BU21" s="16" t="str">
        <f>SE_2023!N21</f>
        <v>zagnana 9.5.2023
en dimnik pa ena frčada, večji vpliv v spomladnih in jesenskih mesecih ko je sonce nizko</v>
      </c>
      <c r="BW21" s="1" t="s">
        <v>421</v>
      </c>
    </row>
    <row r="22" spans="1:75" ht="18.5" x14ac:dyDescent="0.35">
      <c r="A22" s="28">
        <f>SE_2023!A22</f>
        <v>19</v>
      </c>
      <c r="B22" s="33" t="str">
        <f>SE_2023!$B22</f>
        <v>JohnSnow</v>
      </c>
      <c r="C22" s="16" t="str">
        <f>SE_2023!$C22</f>
        <v>Kozina z okolico</v>
      </c>
      <c r="D22" s="15"/>
      <c r="E22" s="42">
        <f t="shared" si="2"/>
        <v>0</v>
      </c>
      <c r="F22" s="15"/>
      <c r="G22" s="42">
        <f t="shared" si="3"/>
        <v>0</v>
      </c>
      <c r="H22" s="15"/>
      <c r="I22" s="15"/>
      <c r="J22" s="15"/>
      <c r="K22" s="28"/>
      <c r="L22" s="33" t="str">
        <f>SE_2023!$B22</f>
        <v>JohnSnow</v>
      </c>
      <c r="M22" s="16" t="str">
        <f>SE_2023!$C22</f>
        <v>Kozina z okolico</v>
      </c>
      <c r="N22" s="15"/>
      <c r="O22" s="42">
        <f t="shared" si="4"/>
        <v>0</v>
      </c>
      <c r="P22" s="15"/>
      <c r="Q22" s="15"/>
      <c r="R22" s="15"/>
      <c r="S22" s="15"/>
      <c r="T22" s="33" t="str">
        <f>SE_2023!$B22</f>
        <v>JohnSnow</v>
      </c>
      <c r="U22" s="16" t="str">
        <f>SE_2023!$C22</f>
        <v>Kozina z okolico</v>
      </c>
      <c r="V22" s="15">
        <v>1110</v>
      </c>
      <c r="W22" s="42">
        <f t="shared" si="5"/>
        <v>92.5</v>
      </c>
      <c r="X22" s="15">
        <v>1218</v>
      </c>
      <c r="Y22" s="15"/>
      <c r="Z22" s="15">
        <v>553</v>
      </c>
      <c r="AA22" s="15"/>
      <c r="AB22" s="42">
        <f t="shared" si="6"/>
        <v>0</v>
      </c>
      <c r="AC22" s="15"/>
      <c r="AD22" s="15"/>
      <c r="AE22" s="15"/>
      <c r="AF22" s="56"/>
      <c r="AG22" s="76" t="str">
        <f t="shared" si="10"/>
        <v>JohnSnow</v>
      </c>
      <c r="AH22" s="64" t="str">
        <f t="shared" si="11"/>
        <v>Kozina z okolico</v>
      </c>
      <c r="AI22" s="15">
        <v>697</v>
      </c>
      <c r="AJ22" s="42">
        <f t="shared" si="7"/>
        <v>58.083333333333336</v>
      </c>
      <c r="AK22" s="15">
        <v>1305</v>
      </c>
      <c r="AL22" s="15"/>
      <c r="AM22" s="15">
        <v>893</v>
      </c>
      <c r="AN22" s="15"/>
      <c r="AO22" s="42">
        <f t="shared" si="8"/>
        <v>0</v>
      </c>
      <c r="AP22" s="15"/>
      <c r="AQ22" s="15"/>
      <c r="AR22" s="15"/>
      <c r="AS22" s="56"/>
      <c r="AT22" s="76" t="str">
        <f t="shared" si="12"/>
        <v>JohnSnow</v>
      </c>
      <c r="AU22" s="64" t="str">
        <f t="shared" si="13"/>
        <v>Kozina z okolico</v>
      </c>
      <c r="AV22" s="15">
        <v>720</v>
      </c>
      <c r="AW22" s="42">
        <f t="shared" si="14"/>
        <v>60</v>
      </c>
      <c r="AX22" s="15">
        <v>1829</v>
      </c>
      <c r="AY22" s="15"/>
      <c r="AZ22" s="15">
        <v>1008</v>
      </c>
      <c r="BA22" s="15"/>
      <c r="BB22" s="42"/>
      <c r="BC22" s="15"/>
      <c r="BD22" s="15"/>
      <c r="BE22" s="15"/>
      <c r="BF22" s="57"/>
      <c r="BG22" s="15"/>
      <c r="BH22" s="15"/>
      <c r="BI22" s="16"/>
      <c r="BJ22" s="15"/>
      <c r="BK22" s="30">
        <f t="shared" si="9"/>
        <v>0</v>
      </c>
      <c r="BL22" s="16"/>
      <c r="BM22" s="15">
        <f>SE_2023!F22</f>
        <v>0</v>
      </c>
      <c r="BN22" s="15">
        <f>SE_2023!G22</f>
        <v>1025</v>
      </c>
      <c r="BO22" s="15">
        <f>SE_2023!H22</f>
        <v>0</v>
      </c>
      <c r="BP22" s="15">
        <f>SE_2023!I22</f>
        <v>12</v>
      </c>
      <c r="BQ22" s="15">
        <f>SE_2023!J22</f>
        <v>186.7</v>
      </c>
      <c r="BR22" s="15">
        <f>SE_2023!K22</f>
        <v>18</v>
      </c>
      <c r="BS22" s="15">
        <f>SE_2023!L22</f>
        <v>12</v>
      </c>
      <c r="BT22" s="15">
        <f>SE_2023!M22</f>
        <v>0</v>
      </c>
      <c r="BU22" s="16" t="str">
        <f>SE_2023!N22</f>
        <v>zagnana 17.4.2023
pozimi, ko je sonce nizko, je spodnja vrsta delno senčena</v>
      </c>
      <c r="BW22" s="1" t="s">
        <v>422</v>
      </c>
    </row>
    <row r="23" spans="1:75" ht="35.5" customHeight="1" x14ac:dyDescent="0.35">
      <c r="A23" s="28">
        <f>SE_2023!A23</f>
        <v>20</v>
      </c>
      <c r="B23" s="33" t="str">
        <f>SE_2023!$B23</f>
        <v>SebaR</v>
      </c>
      <c r="C23" s="16" t="str">
        <f>SE_2023!$C23</f>
        <v>Braslovče</v>
      </c>
      <c r="D23" s="15">
        <v>29.2</v>
      </c>
      <c r="E23" s="42">
        <f t="shared" si="2"/>
        <v>2.5614035087719298</v>
      </c>
      <c r="F23" s="15"/>
      <c r="G23" s="42">
        <f t="shared" si="3"/>
        <v>0</v>
      </c>
      <c r="H23" s="15"/>
      <c r="I23" s="15"/>
      <c r="J23" s="15"/>
      <c r="K23" s="28"/>
      <c r="L23" s="33" t="str">
        <f>SE_2023!$B23</f>
        <v>SebaR</v>
      </c>
      <c r="M23" s="16" t="str">
        <f>SE_2023!$C23</f>
        <v>Braslovče</v>
      </c>
      <c r="N23" s="15"/>
      <c r="O23" s="42">
        <f t="shared" si="4"/>
        <v>0</v>
      </c>
      <c r="P23" s="15"/>
      <c r="Q23" s="15"/>
      <c r="R23" s="15"/>
      <c r="S23" s="15"/>
      <c r="T23" s="33" t="str">
        <f>SE_2023!$B23</f>
        <v>SebaR</v>
      </c>
      <c r="U23" s="16" t="str">
        <f>SE_2023!$C23</f>
        <v>Braslovče</v>
      </c>
      <c r="V23" s="15">
        <v>956</v>
      </c>
      <c r="W23" s="42">
        <f t="shared" si="5"/>
        <v>83.859649122807014</v>
      </c>
      <c r="X23" s="15">
        <v>807</v>
      </c>
      <c r="Y23" s="15"/>
      <c r="Z23" s="15">
        <v>518</v>
      </c>
      <c r="AA23" s="15">
        <v>1050</v>
      </c>
      <c r="AB23" s="42">
        <f t="shared" si="6"/>
        <v>92.10526315789474</v>
      </c>
      <c r="AC23" s="15">
        <v>883</v>
      </c>
      <c r="AD23" s="15"/>
      <c r="AE23" s="15">
        <v>625</v>
      </c>
      <c r="AF23" s="56"/>
      <c r="AG23" s="76" t="str">
        <f t="shared" si="10"/>
        <v>SebaR</v>
      </c>
      <c r="AH23" s="64" t="str">
        <f t="shared" si="11"/>
        <v>Braslovče</v>
      </c>
      <c r="AI23" s="15">
        <v>683</v>
      </c>
      <c r="AJ23" s="42">
        <f t="shared" si="7"/>
        <v>59.912280701754383</v>
      </c>
      <c r="AK23" s="15">
        <v>921</v>
      </c>
      <c r="AL23" s="15"/>
      <c r="AM23" s="15">
        <v>633</v>
      </c>
      <c r="AN23" s="15">
        <v>763</v>
      </c>
      <c r="AO23" s="42">
        <f t="shared" si="8"/>
        <v>66.929824561403507</v>
      </c>
      <c r="AP23" s="15">
        <v>1060</v>
      </c>
      <c r="AQ23" s="15"/>
      <c r="AR23" s="15">
        <v>836</v>
      </c>
      <c r="AS23" s="56"/>
      <c r="AT23" s="76" t="str">
        <f t="shared" si="12"/>
        <v>SebaR</v>
      </c>
      <c r="AU23" s="64" t="str">
        <f t="shared" si="13"/>
        <v>Braslovče</v>
      </c>
      <c r="AV23" s="15">
        <v>430</v>
      </c>
      <c r="AW23" s="42">
        <f t="shared" si="14"/>
        <v>37.719298245614034</v>
      </c>
      <c r="AX23" s="15">
        <v>1430</v>
      </c>
      <c r="AY23" s="15"/>
      <c r="AZ23" s="15">
        <v>1098</v>
      </c>
      <c r="BA23" s="15">
        <v>246</v>
      </c>
      <c r="BB23" s="42">
        <f>BA23/BP23</f>
        <v>21.578947368421051</v>
      </c>
      <c r="BC23" s="15">
        <v>1320</v>
      </c>
      <c r="BD23" s="15"/>
      <c r="BE23" s="15">
        <v>1063</v>
      </c>
      <c r="BF23" s="57"/>
      <c r="BG23" s="15">
        <v>8.07</v>
      </c>
      <c r="BH23" s="30">
        <f>BG23/BP23</f>
        <v>0.70789473684210524</v>
      </c>
      <c r="BI23" s="16" t="s">
        <v>344</v>
      </c>
      <c r="BJ23" s="15">
        <v>6.31</v>
      </c>
      <c r="BK23" s="30">
        <f t="shared" si="9"/>
        <v>0.55350877192982451</v>
      </c>
      <c r="BL23" s="16" t="s">
        <v>343</v>
      </c>
      <c r="BM23" s="15">
        <f>SE_2023!F23</f>
        <v>1149.1228070175439</v>
      </c>
      <c r="BN23" s="15">
        <f>SE_2023!G23</f>
        <v>1145.6140350877192</v>
      </c>
      <c r="BO23" s="15">
        <f>SE_2023!H23</f>
        <v>1026.3157894736842</v>
      </c>
      <c r="BP23" s="15">
        <f>SE_2023!I23</f>
        <v>11.4</v>
      </c>
      <c r="BQ23" s="15">
        <f>SE_2023!J23</f>
        <v>217</v>
      </c>
      <c r="BR23" s="15">
        <f>SE_2023!K23</f>
        <v>31</v>
      </c>
      <c r="BS23" s="15">
        <f>SE_2023!L23</f>
        <v>13.6</v>
      </c>
      <c r="BT23" s="15">
        <f>SE_2023!M23</f>
        <v>0</v>
      </c>
      <c r="BU23" s="16" t="str">
        <f>SE_2023!N23</f>
        <v>zagon 23.5.2022
hrib povzroči predčasni zahod sonca za 90 minut, ena celica menjana zaradi okvare lota</v>
      </c>
      <c r="BW23" s="1" t="s">
        <v>423</v>
      </c>
    </row>
    <row r="24" spans="1:75" ht="18.5" x14ac:dyDescent="0.35">
      <c r="A24" s="28">
        <f>SE_2023!A24</f>
        <v>21</v>
      </c>
      <c r="B24" s="33" t="str">
        <f>SE_2023!$B24</f>
        <v>bojan03</v>
      </c>
      <c r="C24" s="16" t="str">
        <f>SE_2023!$C24</f>
        <v>okolica Medvod</v>
      </c>
      <c r="D24" s="15">
        <v>29.2</v>
      </c>
      <c r="E24" s="42">
        <f t="shared" si="2"/>
        <v>2.6449275362318843</v>
      </c>
      <c r="F24" s="15">
        <v>1320</v>
      </c>
      <c r="G24" s="42">
        <f t="shared" si="3"/>
        <v>119.56521739130436</v>
      </c>
      <c r="H24" s="15">
        <v>649</v>
      </c>
      <c r="I24" s="15"/>
      <c r="J24" s="15">
        <v>190</v>
      </c>
      <c r="K24" s="28"/>
      <c r="L24" s="33" t="str">
        <f>SE_2023!$B24</f>
        <v>bojan03</v>
      </c>
      <c r="M24" s="16" t="str">
        <f>SE_2023!$C24</f>
        <v>okolica Medvod</v>
      </c>
      <c r="N24" s="15">
        <v>1340</v>
      </c>
      <c r="O24" s="42">
        <f t="shared" si="4"/>
        <v>121.37681159420291</v>
      </c>
      <c r="P24" s="15">
        <v>783</v>
      </c>
      <c r="Q24" s="15"/>
      <c r="R24" s="15">
        <v>346</v>
      </c>
      <c r="S24" s="15"/>
      <c r="T24" s="33" t="str">
        <f>SE_2023!$B24</f>
        <v>bojan03</v>
      </c>
      <c r="U24" s="16" t="str">
        <f>SE_2023!$C24</f>
        <v>okolica Medvod</v>
      </c>
      <c r="V24" s="15">
        <v>887</v>
      </c>
      <c r="W24" s="42">
        <f t="shared" si="5"/>
        <v>80.344202898550733</v>
      </c>
      <c r="X24" s="15">
        <v>863</v>
      </c>
      <c r="Y24" s="15"/>
      <c r="Z24" s="15">
        <v>453</v>
      </c>
      <c r="AA24" s="15"/>
      <c r="AB24" s="42">
        <f t="shared" si="6"/>
        <v>0</v>
      </c>
      <c r="AC24" s="15"/>
      <c r="AD24" s="15"/>
      <c r="AE24" s="15"/>
      <c r="AF24" s="56"/>
      <c r="AG24" s="76" t="str">
        <f t="shared" si="10"/>
        <v>bojan03</v>
      </c>
      <c r="AH24" s="64" t="str">
        <f t="shared" si="11"/>
        <v>okolica Medvod</v>
      </c>
      <c r="AI24" s="15"/>
      <c r="AJ24" s="42">
        <f t="shared" si="7"/>
        <v>0</v>
      </c>
      <c r="AK24" s="15"/>
      <c r="AL24" s="15"/>
      <c r="AM24" s="15"/>
      <c r="AN24" s="15"/>
      <c r="AO24" s="42">
        <f t="shared" si="8"/>
        <v>0</v>
      </c>
      <c r="AP24" s="15"/>
      <c r="AQ24" s="15"/>
      <c r="AR24" s="15"/>
      <c r="AS24" s="56"/>
      <c r="AT24" s="76" t="str">
        <f t="shared" si="12"/>
        <v>bojan03</v>
      </c>
      <c r="AU24" s="64" t="str">
        <f t="shared" si="13"/>
        <v>okolica Medvod</v>
      </c>
      <c r="AV24" s="15">
        <v>480</v>
      </c>
      <c r="AW24" s="42">
        <f t="shared" si="14"/>
        <v>43.478260869565219</v>
      </c>
      <c r="AX24" s="15">
        <v>1211</v>
      </c>
      <c r="AY24" s="15"/>
      <c r="AZ24" s="15">
        <v>718</v>
      </c>
      <c r="BA24" s="15"/>
      <c r="BB24" s="42"/>
      <c r="BC24" s="15"/>
      <c r="BD24" s="15"/>
      <c r="BE24" s="15"/>
      <c r="BF24" s="57"/>
      <c r="BG24" s="15">
        <v>4.0999999999999996</v>
      </c>
      <c r="BH24" s="30">
        <f>BG24/BP24</f>
        <v>0.37137681159420288</v>
      </c>
      <c r="BI24" s="16" t="s">
        <v>334</v>
      </c>
      <c r="BJ24" s="15">
        <v>22.5</v>
      </c>
      <c r="BK24" s="30">
        <f t="shared" si="9"/>
        <v>2.0380434782608696</v>
      </c>
      <c r="BL24" s="16" t="s">
        <v>314</v>
      </c>
      <c r="BM24" s="15">
        <f>SE_2023!F24</f>
        <v>1077.8985507246377</v>
      </c>
      <c r="BN24" s="15">
        <f>SE_2023!G24</f>
        <v>747.28260869565224</v>
      </c>
      <c r="BO24" s="15">
        <f>SE_2023!H24</f>
        <v>0</v>
      </c>
      <c r="BP24" s="15">
        <f>SE_2023!I24</f>
        <v>11.04</v>
      </c>
      <c r="BQ24" s="15" t="str">
        <f>SE_2023!J24</f>
        <v>5.06 kW, 150
5.98 kW, 240</v>
      </c>
      <c r="BR24" s="15" t="str">
        <f>SE_2023!K24</f>
        <v>30
30</v>
      </c>
      <c r="BS24" s="15">
        <f>SE_2023!L24</f>
        <v>11.04</v>
      </c>
      <c r="BT24" s="15">
        <f>SE_2023!M24</f>
        <v>11.04</v>
      </c>
      <c r="BU24" s="16" t="str">
        <f>SE_2023!N24</f>
        <v>priklop 19.5.2023
paneli na azimutu 150° so dali 4,4% boljši pridelek</v>
      </c>
      <c r="BW24" s="1"/>
    </row>
    <row r="25" spans="1:75" ht="18.5" x14ac:dyDescent="0.35">
      <c r="A25" s="28">
        <f>SE_2023!A25</f>
        <v>22</v>
      </c>
      <c r="B25" s="33" t="str">
        <f>SE_2023!$B25</f>
        <v>veli</v>
      </c>
      <c r="C25" s="16" t="str">
        <f>SE_2023!$C25</f>
        <v>Cerknica</v>
      </c>
      <c r="D25" s="15"/>
      <c r="E25" s="42">
        <f t="shared" si="2"/>
        <v>0</v>
      </c>
      <c r="F25" s="15"/>
      <c r="G25" s="42">
        <f t="shared" si="3"/>
        <v>0</v>
      </c>
      <c r="H25" s="15"/>
      <c r="I25" s="15"/>
      <c r="J25" s="15"/>
      <c r="K25" s="28"/>
      <c r="L25" s="33" t="str">
        <f>SE_2023!$B25</f>
        <v>veli</v>
      </c>
      <c r="M25" s="16" t="str">
        <f>SE_2023!$C25</f>
        <v>Cerknica</v>
      </c>
      <c r="N25" s="15"/>
      <c r="O25" s="42">
        <f t="shared" si="4"/>
        <v>0</v>
      </c>
      <c r="P25" s="15"/>
      <c r="Q25" s="15"/>
      <c r="R25" s="15"/>
      <c r="S25" s="15"/>
      <c r="T25" s="33" t="str">
        <f>SE_2023!$B25</f>
        <v>veli</v>
      </c>
      <c r="U25" s="16" t="str">
        <f>SE_2023!$C25</f>
        <v>Cerknica</v>
      </c>
      <c r="V25" s="15">
        <v>1100</v>
      </c>
      <c r="W25" s="42">
        <f t="shared" si="5"/>
        <v>96.491228070175438</v>
      </c>
      <c r="X25" s="15">
        <v>1100</v>
      </c>
      <c r="Y25" s="15"/>
      <c r="Z25" s="15"/>
      <c r="AA25" s="15">
        <v>1280</v>
      </c>
      <c r="AB25" s="42">
        <f t="shared" si="6"/>
        <v>112.28070175438596</v>
      </c>
      <c r="AC25" s="14">
        <f>AA25+721.24-984.76</f>
        <v>1016.48</v>
      </c>
      <c r="AD25" s="15"/>
      <c r="AE25" s="15"/>
      <c r="AF25" s="56"/>
      <c r="AG25" s="76" t="str">
        <f t="shared" si="10"/>
        <v>veli</v>
      </c>
      <c r="AH25" s="64" t="str">
        <f t="shared" si="11"/>
        <v>Cerknica</v>
      </c>
      <c r="AI25" s="15">
        <v>782</v>
      </c>
      <c r="AJ25" s="42">
        <f t="shared" si="7"/>
        <v>68.596491228070178</v>
      </c>
      <c r="AK25" s="15">
        <v>1080</v>
      </c>
      <c r="AL25" s="15"/>
      <c r="AM25" s="15">
        <v>435.58</v>
      </c>
      <c r="AN25" s="15">
        <v>1020</v>
      </c>
      <c r="AO25" s="42">
        <f t="shared" si="8"/>
        <v>89.473684210526315</v>
      </c>
      <c r="AP25" s="15">
        <v>1300</v>
      </c>
      <c r="AQ25" s="15"/>
      <c r="AR25" s="15">
        <v>784.89</v>
      </c>
      <c r="AS25" s="56"/>
      <c r="AT25" s="76" t="str">
        <f t="shared" si="12"/>
        <v>veli</v>
      </c>
      <c r="AU25" s="64" t="str">
        <f t="shared" si="13"/>
        <v>Cerknica</v>
      </c>
      <c r="AV25" s="15">
        <v>891</v>
      </c>
      <c r="AW25" s="42">
        <f t="shared" si="14"/>
        <v>78.15789473684211</v>
      </c>
      <c r="AX25" s="15">
        <f>1430</f>
        <v>1430</v>
      </c>
      <c r="AY25" s="15"/>
      <c r="AZ25" s="15">
        <v>761</v>
      </c>
      <c r="BA25" s="15">
        <v>322</v>
      </c>
      <c r="BB25" s="42">
        <f>BA25/BP25</f>
        <v>28.245614035087719</v>
      </c>
      <c r="BC25" s="15">
        <v>1444</v>
      </c>
      <c r="BD25" s="15"/>
      <c r="BE25" s="15"/>
      <c r="BF25" s="57"/>
      <c r="BG25" s="15">
        <v>2.65</v>
      </c>
      <c r="BH25" s="30">
        <f>BG25/BP25</f>
        <v>0.23245614035087717</v>
      </c>
      <c r="BI25" s="16" t="s">
        <v>408</v>
      </c>
      <c r="BJ25" s="15">
        <v>42.7</v>
      </c>
      <c r="BK25" s="30">
        <f t="shared" si="9"/>
        <v>3.7456140350877196</v>
      </c>
      <c r="BL25" s="16" t="s">
        <v>409</v>
      </c>
      <c r="BM25" s="15">
        <f>SE_2023!F25</f>
        <v>0</v>
      </c>
      <c r="BN25" s="15">
        <f>SE_2023!G25</f>
        <v>1263.1578947368421</v>
      </c>
      <c r="BO25" s="15">
        <f>SE_2023!H25</f>
        <v>0</v>
      </c>
      <c r="BP25" s="15">
        <f>SE_2023!I25</f>
        <v>11.4</v>
      </c>
      <c r="BQ25" s="15">
        <f>SE_2023!J25</f>
        <v>211</v>
      </c>
      <c r="BR25" s="15">
        <f>SE_2023!K25</f>
        <v>39</v>
      </c>
      <c r="BS25" s="15">
        <f>SE_2023!L25</f>
        <v>11.4</v>
      </c>
      <c r="BT25" s="15">
        <f>SE_2023!M25</f>
        <v>11.2</v>
      </c>
      <c r="BU25" s="16">
        <f>SE_2023!N25</f>
        <v>0</v>
      </c>
      <c r="BW25" s="1"/>
    </row>
    <row r="26" spans="1:75" ht="18.5" x14ac:dyDescent="0.35">
      <c r="A26" s="28">
        <f>SE_2023!A26</f>
        <v>23</v>
      </c>
      <c r="B26" s="33" t="str">
        <f>SE_2023!$B26</f>
        <v>jormam</v>
      </c>
      <c r="C26" s="16" t="str">
        <f>SE_2023!$C26</f>
        <v>Tolmin</v>
      </c>
      <c r="D26" s="15">
        <v>30.4</v>
      </c>
      <c r="E26" s="42">
        <f t="shared" si="2"/>
        <v>2.4050632911392404</v>
      </c>
      <c r="F26" s="15"/>
      <c r="G26" s="42">
        <f t="shared" si="3"/>
        <v>0</v>
      </c>
      <c r="H26" s="15"/>
      <c r="I26" s="15"/>
      <c r="J26" s="15"/>
      <c r="K26" s="28"/>
      <c r="L26" s="33" t="str">
        <f>SE_2023!$B26</f>
        <v>jormam</v>
      </c>
      <c r="M26" s="16" t="str">
        <f>SE_2023!$C26</f>
        <v>Tolmin</v>
      </c>
      <c r="N26" s="15"/>
      <c r="O26" s="42">
        <f t="shared" si="4"/>
        <v>0</v>
      </c>
      <c r="P26" s="15"/>
      <c r="Q26" s="15"/>
      <c r="R26" s="15"/>
      <c r="S26" s="15"/>
      <c r="T26" s="33" t="str">
        <f>SE_2023!$B26</f>
        <v>jormam</v>
      </c>
      <c r="U26" s="16" t="str">
        <f>SE_2023!$C26</f>
        <v>Tolmin</v>
      </c>
      <c r="V26" s="15"/>
      <c r="W26" s="42">
        <f t="shared" si="5"/>
        <v>0</v>
      </c>
      <c r="X26" s="15"/>
      <c r="Y26" s="15"/>
      <c r="Z26" s="15"/>
      <c r="AA26" s="15"/>
      <c r="AB26" s="42">
        <f t="shared" si="6"/>
        <v>0</v>
      </c>
      <c r="AC26" s="15"/>
      <c r="AD26" s="15"/>
      <c r="AE26" s="15"/>
      <c r="AF26" s="56"/>
      <c r="AG26" s="76" t="str">
        <f t="shared" si="10"/>
        <v>jormam</v>
      </c>
      <c r="AH26" s="64" t="str">
        <f t="shared" si="11"/>
        <v>Tolmin</v>
      </c>
      <c r="AI26" s="15">
        <v>560.45000000000005</v>
      </c>
      <c r="AJ26" s="42">
        <f t="shared" si="7"/>
        <v>44.339398734177216</v>
      </c>
      <c r="AK26" s="15">
        <v>1540.45</v>
      </c>
      <c r="AL26" s="15"/>
      <c r="AM26" s="15"/>
      <c r="AN26" s="15"/>
      <c r="AO26" s="42">
        <f t="shared" si="8"/>
        <v>0</v>
      </c>
      <c r="AP26" s="15"/>
      <c r="AQ26" s="15"/>
      <c r="AR26" s="15"/>
      <c r="AS26" s="56"/>
      <c r="AT26" s="76" t="str">
        <f t="shared" si="12"/>
        <v>jormam</v>
      </c>
      <c r="AU26" s="64" t="str">
        <f t="shared" si="13"/>
        <v>Tolmin</v>
      </c>
      <c r="AV26" s="15">
        <v>658</v>
      </c>
      <c r="AW26" s="42">
        <f t="shared" si="14"/>
        <v>52.056962025316452</v>
      </c>
      <c r="AX26" s="15">
        <v>2370</v>
      </c>
      <c r="AY26" s="15"/>
      <c r="AZ26" s="15"/>
      <c r="BA26" s="15"/>
      <c r="BB26" s="42"/>
      <c r="BC26" s="15"/>
      <c r="BD26" s="15"/>
      <c r="BE26" s="15"/>
      <c r="BF26" s="57"/>
      <c r="BG26" s="15">
        <v>1.5</v>
      </c>
      <c r="BH26" s="30">
        <f>BG26/BP26</f>
        <v>0.11867088607594936</v>
      </c>
      <c r="BI26" s="16" t="s">
        <v>374</v>
      </c>
      <c r="BJ26" s="15">
        <v>34.700000000000003</v>
      </c>
      <c r="BK26" s="30">
        <f t="shared" si="9"/>
        <v>2.7452531645569622</v>
      </c>
      <c r="BL26" s="16" t="s">
        <v>315</v>
      </c>
      <c r="BM26" s="15">
        <f>SE_2023!F26</f>
        <v>1036.3924050632911</v>
      </c>
      <c r="BN26" s="15">
        <f>SE_2023!G26</f>
        <v>1155.0632911392404</v>
      </c>
      <c r="BO26" s="15">
        <f>SE_2023!H26</f>
        <v>1289.5569620253164</v>
      </c>
      <c r="BP26" s="15">
        <f>SE_2023!I26</f>
        <v>12.64</v>
      </c>
      <c r="BQ26" s="15">
        <f>SE_2023!J26</f>
        <v>173</v>
      </c>
      <c r="BR26" s="15">
        <f>SE_2023!K26</f>
        <v>36.200000000000003</v>
      </c>
      <c r="BS26" s="15">
        <f>SE_2023!L26</f>
        <v>11.2</v>
      </c>
      <c r="BT26" s="15">
        <f>SE_2023!M26</f>
        <v>0</v>
      </c>
      <c r="BU26" s="16">
        <f>SE_2023!N26</f>
        <v>0</v>
      </c>
      <c r="BW26" s="41" t="s">
        <v>441</v>
      </c>
    </row>
    <row r="27" spans="1:75" ht="18.5" x14ac:dyDescent="0.35">
      <c r="A27" s="28">
        <f>SE_2023!A27</f>
        <v>24</v>
      </c>
      <c r="B27" s="33" t="str">
        <f>SE_2023!$B27</f>
        <v>Migaj</v>
      </c>
      <c r="C27" s="16" t="str">
        <f>SE_2023!$C27</f>
        <v>na desni strani Mure</v>
      </c>
      <c r="D27" s="15">
        <v>37</v>
      </c>
      <c r="E27" s="42">
        <f t="shared" si="2"/>
        <v>3.3035714285714288</v>
      </c>
      <c r="F27" s="15"/>
      <c r="G27" s="42">
        <f t="shared" si="3"/>
        <v>0</v>
      </c>
      <c r="H27" s="15"/>
      <c r="I27" s="15"/>
      <c r="J27" s="15"/>
      <c r="K27" s="28"/>
      <c r="L27" s="33" t="str">
        <f>SE_2023!$B27</f>
        <v>Migaj</v>
      </c>
      <c r="M27" s="16" t="str">
        <f>SE_2023!$C27</f>
        <v>na desni strani Mure</v>
      </c>
      <c r="N27" s="15"/>
      <c r="O27" s="42">
        <f t="shared" si="4"/>
        <v>0</v>
      </c>
      <c r="P27" s="15"/>
      <c r="Q27" s="15"/>
      <c r="R27" s="15"/>
      <c r="S27" s="15"/>
      <c r="T27" s="33" t="str">
        <f>SE_2023!$B27</f>
        <v>Migaj</v>
      </c>
      <c r="U27" s="16" t="str">
        <f>SE_2023!$C27</f>
        <v>na desni strani Mure</v>
      </c>
      <c r="V27" s="15"/>
      <c r="W27" s="42">
        <f t="shared" si="5"/>
        <v>0</v>
      </c>
      <c r="X27" s="15"/>
      <c r="Y27" s="15"/>
      <c r="Z27" s="15"/>
      <c r="AA27" s="15"/>
      <c r="AB27" s="42">
        <f t="shared" si="6"/>
        <v>0</v>
      </c>
      <c r="AC27" s="15"/>
      <c r="AD27" s="15"/>
      <c r="AE27" s="15"/>
      <c r="AF27" s="56"/>
      <c r="AG27" s="76" t="str">
        <f t="shared" si="10"/>
        <v>Migaj</v>
      </c>
      <c r="AH27" s="64" t="str">
        <f t="shared" si="11"/>
        <v>na desni strani Mure</v>
      </c>
      <c r="AI27" s="15">
        <v>880</v>
      </c>
      <c r="AJ27" s="42">
        <f t="shared" si="7"/>
        <v>78.571428571428569</v>
      </c>
      <c r="AK27" s="15">
        <v>1210</v>
      </c>
      <c r="AL27" s="15"/>
      <c r="AM27" s="15"/>
      <c r="AN27" s="15"/>
      <c r="AO27" s="42">
        <f t="shared" si="8"/>
        <v>0</v>
      </c>
      <c r="AP27" s="15"/>
      <c r="AQ27" s="15"/>
      <c r="AR27" s="15"/>
      <c r="AS27" s="56"/>
      <c r="AT27" s="76" t="str">
        <f t="shared" si="12"/>
        <v>Migaj</v>
      </c>
      <c r="AU27" s="64" t="str">
        <f t="shared" si="13"/>
        <v>na desni strani Mure</v>
      </c>
      <c r="AV27" s="15">
        <v>740</v>
      </c>
      <c r="AW27" s="42">
        <f t="shared" si="14"/>
        <v>66.071428571428569</v>
      </c>
      <c r="AX27" s="15">
        <v>2000</v>
      </c>
      <c r="AY27" s="15"/>
      <c r="AZ27" s="15"/>
      <c r="BA27" s="15"/>
      <c r="BB27" s="42"/>
      <c r="BC27" s="15"/>
      <c r="BD27" s="15"/>
      <c r="BE27" s="15"/>
      <c r="BF27" s="57"/>
      <c r="BG27" s="15"/>
      <c r="BH27" s="15"/>
      <c r="BI27" s="16"/>
      <c r="BJ27" s="15">
        <v>20</v>
      </c>
      <c r="BK27" s="30">
        <f t="shared" si="9"/>
        <v>1.7857142857142858</v>
      </c>
      <c r="BL27" s="16" t="s">
        <v>302</v>
      </c>
      <c r="BM27" s="15">
        <f>SE_2023!F27</f>
        <v>1250</v>
      </c>
      <c r="BN27" s="15">
        <f>SE_2023!G27</f>
        <v>1130.3571428571429</v>
      </c>
      <c r="BO27" s="15">
        <f>SE_2023!H27</f>
        <v>0</v>
      </c>
      <c r="BP27" s="15">
        <f>SE_2023!I27</f>
        <v>11.2</v>
      </c>
      <c r="BQ27" s="15">
        <f>SE_2023!J27</f>
        <v>194</v>
      </c>
      <c r="BR27" s="15">
        <f>SE_2023!K27</f>
        <v>27</v>
      </c>
      <c r="BS27" s="15">
        <f>SE_2023!L27</f>
        <v>11.2</v>
      </c>
      <c r="BT27" s="15">
        <f>SE_2023!M27</f>
        <v>0</v>
      </c>
      <c r="BU27" s="16" t="str">
        <f>SE_2023!N27</f>
        <v>Pridelek  od 22.2.2023 do 31.12.2023 = 12,66MWh.</v>
      </c>
      <c r="BW27" s="1"/>
    </row>
    <row r="28" spans="1:75" ht="18.5" x14ac:dyDescent="0.35">
      <c r="A28" s="28">
        <f>SE_2023!A28</f>
        <v>25</v>
      </c>
      <c r="B28" s="33" t="str">
        <f>SE_2023!$B28</f>
        <v>Avatar</v>
      </c>
      <c r="C28" s="16" t="str">
        <f>SE_2023!$C28</f>
        <v>Šentvid pri Grobelnem</v>
      </c>
      <c r="D28" s="15">
        <v>49.7</v>
      </c>
      <c r="E28" s="42">
        <f t="shared" si="2"/>
        <v>3.8828125</v>
      </c>
      <c r="F28" s="15"/>
      <c r="G28" s="42">
        <f t="shared" si="3"/>
        <v>0</v>
      </c>
      <c r="H28" s="15"/>
      <c r="I28" s="15"/>
      <c r="J28" s="15"/>
      <c r="K28" s="28"/>
      <c r="L28" s="33" t="str">
        <f>SE_2023!$B28</f>
        <v>Avatar</v>
      </c>
      <c r="M28" s="16" t="str">
        <f>SE_2023!$C28</f>
        <v>Šentvid pri Grobelnem</v>
      </c>
      <c r="N28" s="15"/>
      <c r="O28" s="42">
        <f t="shared" si="4"/>
        <v>0</v>
      </c>
      <c r="P28" s="15"/>
      <c r="Q28" s="15"/>
      <c r="R28" s="15"/>
      <c r="S28" s="15"/>
      <c r="T28" s="33" t="str">
        <f>SE_2023!$B28</f>
        <v>Avatar</v>
      </c>
      <c r="U28" s="16" t="str">
        <f>SE_2023!$C28</f>
        <v>Šentvid pri Grobelnem</v>
      </c>
      <c r="V28" s="15"/>
      <c r="W28" s="42">
        <f t="shared" si="5"/>
        <v>0</v>
      </c>
      <c r="X28" s="15"/>
      <c r="Y28" s="15"/>
      <c r="Z28" s="15"/>
      <c r="AA28" s="15"/>
      <c r="AB28" s="42">
        <f t="shared" si="6"/>
        <v>0</v>
      </c>
      <c r="AC28" s="15"/>
      <c r="AD28" s="15"/>
      <c r="AE28" s="15"/>
      <c r="AF28" s="56"/>
      <c r="AG28" s="76" t="str">
        <f t="shared" si="10"/>
        <v>Avatar</v>
      </c>
      <c r="AH28" s="64" t="str">
        <f t="shared" si="11"/>
        <v>Šentvid pri Grobelnem</v>
      </c>
      <c r="AI28" s="15"/>
      <c r="AJ28" s="42">
        <f t="shared" si="7"/>
        <v>0</v>
      </c>
      <c r="AK28" s="15"/>
      <c r="AL28" s="15"/>
      <c r="AM28" s="15"/>
      <c r="AN28" s="15"/>
      <c r="AO28" s="42">
        <f t="shared" si="8"/>
        <v>0</v>
      </c>
      <c r="AP28" s="15"/>
      <c r="AQ28" s="15"/>
      <c r="AR28" s="15"/>
      <c r="AS28" s="56"/>
      <c r="AT28" s="76" t="str">
        <f t="shared" si="12"/>
        <v>Avatar</v>
      </c>
      <c r="AU28" s="64" t="str">
        <f t="shared" si="13"/>
        <v>Šentvid pri Grobelnem</v>
      </c>
      <c r="AV28" s="15"/>
      <c r="AW28" s="42"/>
      <c r="AX28" s="15"/>
      <c r="AY28" s="15"/>
      <c r="AZ28" s="15"/>
      <c r="BA28" s="15"/>
      <c r="BB28" s="42"/>
      <c r="BC28" s="15"/>
      <c r="BD28" s="15"/>
      <c r="BE28" s="15"/>
      <c r="BF28" s="57"/>
      <c r="BG28" s="15"/>
      <c r="BH28" s="15"/>
      <c r="BI28" s="16"/>
      <c r="BJ28" s="15"/>
      <c r="BK28" s="30">
        <f t="shared" si="9"/>
        <v>0</v>
      </c>
      <c r="BL28" s="16"/>
      <c r="BM28" s="15">
        <f>SE_2023!F28</f>
        <v>1273.4375</v>
      </c>
      <c r="BN28" s="15">
        <f>SE_2023!G28</f>
        <v>1290.625</v>
      </c>
      <c r="BO28" s="15">
        <f>SE_2023!H28</f>
        <v>0</v>
      </c>
      <c r="BP28" s="15">
        <f>SE_2023!I28</f>
        <v>12.8</v>
      </c>
      <c r="BQ28" s="15">
        <f>SE_2023!J28</f>
        <v>194</v>
      </c>
      <c r="BR28" s="15">
        <f>SE_2023!K28</f>
        <v>38</v>
      </c>
      <c r="BS28" s="15">
        <f>SE_2023!L28</f>
        <v>11.2</v>
      </c>
      <c r="BT28" s="15">
        <f>SE_2023!M28</f>
        <v>11.1</v>
      </c>
      <c r="BU28" s="16" t="str">
        <f>SE_2023!N28</f>
        <v>Dopoldne rahlo senčenje od drevesa in pozimi popoldne nekaj panelov zakrije streha.</v>
      </c>
      <c r="BW28" s="1" t="s">
        <v>442</v>
      </c>
    </row>
    <row r="29" spans="1:75" ht="18.5" x14ac:dyDescent="0.35">
      <c r="A29" s="28">
        <f>SE_2023!A29</f>
        <v>26</v>
      </c>
      <c r="B29" s="33" t="str">
        <f>SE_2023!$B29</f>
        <v>rorex</v>
      </c>
      <c r="C29" s="16" t="str">
        <f>SE_2023!$C29</f>
        <v>Prekmurje</v>
      </c>
      <c r="D29" s="15"/>
      <c r="E29" s="42">
        <f t="shared" si="2"/>
        <v>0</v>
      </c>
      <c r="F29" s="15"/>
      <c r="G29" s="42">
        <f t="shared" si="3"/>
        <v>0</v>
      </c>
      <c r="H29" s="15"/>
      <c r="I29" s="15"/>
      <c r="J29" s="15"/>
      <c r="K29" s="28"/>
      <c r="L29" s="33" t="str">
        <f>SE_2023!$B29</f>
        <v>rorex</v>
      </c>
      <c r="M29" s="16" t="str">
        <f>SE_2023!$C29</f>
        <v>Prekmurje</v>
      </c>
      <c r="N29" s="15"/>
      <c r="O29" s="42">
        <f t="shared" si="4"/>
        <v>0</v>
      </c>
      <c r="P29" s="15"/>
      <c r="Q29" s="15"/>
      <c r="R29" s="15"/>
      <c r="S29" s="15"/>
      <c r="T29" s="33" t="str">
        <f>SE_2023!$B29</f>
        <v>rorex</v>
      </c>
      <c r="U29" s="16" t="str">
        <f>SE_2023!$C29</f>
        <v>Prekmurje</v>
      </c>
      <c r="V29" s="15"/>
      <c r="W29" s="42">
        <f t="shared" si="5"/>
        <v>0</v>
      </c>
      <c r="X29" s="15"/>
      <c r="Y29" s="15"/>
      <c r="Z29" s="15"/>
      <c r="AA29" s="15"/>
      <c r="AB29" s="42">
        <f t="shared" si="6"/>
        <v>0</v>
      </c>
      <c r="AC29" s="15"/>
      <c r="AD29" s="15"/>
      <c r="AE29" s="15"/>
      <c r="AF29" s="56"/>
      <c r="AG29" s="76" t="str">
        <f t="shared" si="10"/>
        <v>rorex</v>
      </c>
      <c r="AH29" s="64" t="str">
        <f t="shared" si="11"/>
        <v>Prekmurje</v>
      </c>
      <c r="AI29" s="15"/>
      <c r="AJ29" s="42">
        <f t="shared" si="7"/>
        <v>0</v>
      </c>
      <c r="AK29" s="15"/>
      <c r="AL29" s="15"/>
      <c r="AM29" s="15"/>
      <c r="AN29" s="15"/>
      <c r="AO29" s="42">
        <f t="shared" si="8"/>
        <v>0</v>
      </c>
      <c r="AP29" s="15"/>
      <c r="AQ29" s="15"/>
      <c r="AR29" s="15"/>
      <c r="AS29" s="56"/>
      <c r="AT29" s="76" t="str">
        <f t="shared" si="12"/>
        <v>rorex</v>
      </c>
      <c r="AU29" s="64" t="str">
        <f t="shared" si="13"/>
        <v>Prekmurje</v>
      </c>
      <c r="AV29" s="15"/>
      <c r="AW29" s="42"/>
      <c r="AX29" s="15"/>
      <c r="AY29" s="15"/>
      <c r="AZ29" s="15"/>
      <c r="BA29" s="15"/>
      <c r="BB29" s="42"/>
      <c r="BC29" s="15"/>
      <c r="BD29" s="15"/>
      <c r="BE29" s="15"/>
      <c r="BF29" s="57"/>
      <c r="BG29" s="15">
        <v>3.72</v>
      </c>
      <c r="BH29" s="30">
        <f>BG29/BP29</f>
        <v>0.31</v>
      </c>
      <c r="BI29" s="16"/>
      <c r="BJ29" s="15">
        <v>21.1</v>
      </c>
      <c r="BK29" s="30">
        <f t="shared" si="9"/>
        <v>1.7583333333333335</v>
      </c>
      <c r="BL29" s="16"/>
      <c r="BM29" s="15">
        <f>SE_2023!F29</f>
        <v>0</v>
      </c>
      <c r="BN29" s="15">
        <f>SE_2023!G29</f>
        <v>1200</v>
      </c>
      <c r="BO29" s="15">
        <f>SE_2023!H29</f>
        <v>0</v>
      </c>
      <c r="BP29" s="15">
        <f>SE_2023!I29</f>
        <v>12</v>
      </c>
      <c r="BQ29" s="15">
        <f>SE_2023!J29</f>
        <v>131</v>
      </c>
      <c r="BR29" s="15">
        <f>SE_2023!K29</f>
        <v>20</v>
      </c>
      <c r="BS29" s="15">
        <f>SE_2023!L29</f>
        <v>11.4</v>
      </c>
      <c r="BT29" s="15">
        <f>SE_2023!M29</f>
        <v>11.2</v>
      </c>
      <c r="BU29" s="16">
        <f>SE_2023!N29</f>
        <v>0</v>
      </c>
      <c r="BW29" s="1" t="s">
        <v>443</v>
      </c>
    </row>
    <row r="30" spans="1:75" ht="18.5" x14ac:dyDescent="0.35">
      <c r="A30" s="28">
        <f>SE_2023!A30</f>
        <v>27</v>
      </c>
      <c r="B30" s="33" t="str">
        <f>SE_2023!$B30</f>
        <v>M0rph3u5</v>
      </c>
      <c r="C30" s="16" t="str">
        <f>SE_2023!$C30</f>
        <v>okolica Mokronoga</v>
      </c>
      <c r="D30" s="15"/>
      <c r="E30" s="42">
        <f t="shared" si="2"/>
        <v>0</v>
      </c>
      <c r="F30" s="15"/>
      <c r="G30" s="42">
        <f t="shared" si="3"/>
        <v>0</v>
      </c>
      <c r="H30" s="15"/>
      <c r="I30" s="15"/>
      <c r="J30" s="15"/>
      <c r="K30" s="28"/>
      <c r="L30" s="33" t="str">
        <f>SE_2023!$B30</f>
        <v>M0rph3u5</v>
      </c>
      <c r="M30" s="16" t="str">
        <f>SE_2023!$C30</f>
        <v>okolica Mokronoga</v>
      </c>
      <c r="N30" s="15"/>
      <c r="O30" s="42">
        <f t="shared" si="4"/>
        <v>0</v>
      </c>
      <c r="P30" s="15"/>
      <c r="Q30" s="15"/>
      <c r="R30" s="15"/>
      <c r="S30" s="15"/>
      <c r="T30" s="33" t="str">
        <f>SE_2023!$B30</f>
        <v>M0rph3u5</v>
      </c>
      <c r="U30" s="16" t="str">
        <f>SE_2023!$C30</f>
        <v>okolica Mokronoga</v>
      </c>
      <c r="V30" s="15"/>
      <c r="W30" s="42">
        <f t="shared" si="5"/>
        <v>0</v>
      </c>
      <c r="X30" s="15"/>
      <c r="Y30" s="15"/>
      <c r="Z30" s="15"/>
      <c r="AA30" s="15"/>
      <c r="AB30" s="42">
        <f t="shared" si="6"/>
        <v>0</v>
      </c>
      <c r="AC30" s="15"/>
      <c r="AD30" s="15"/>
      <c r="AE30" s="15"/>
      <c r="AF30" s="56"/>
      <c r="AG30" s="76" t="str">
        <f t="shared" si="10"/>
        <v>M0rph3u5</v>
      </c>
      <c r="AH30" s="64" t="str">
        <f t="shared" si="11"/>
        <v>okolica Mokronoga</v>
      </c>
      <c r="AI30" s="15"/>
      <c r="AJ30" s="42">
        <f t="shared" si="7"/>
        <v>0</v>
      </c>
      <c r="AK30" s="15"/>
      <c r="AL30" s="15"/>
      <c r="AM30" s="15"/>
      <c r="AN30" s="15"/>
      <c r="AO30" s="42">
        <f t="shared" si="8"/>
        <v>0</v>
      </c>
      <c r="AP30" s="15"/>
      <c r="AQ30" s="15"/>
      <c r="AR30" s="15"/>
      <c r="AS30" s="56"/>
      <c r="AT30" s="76" t="str">
        <f t="shared" si="12"/>
        <v>M0rph3u5</v>
      </c>
      <c r="AU30" s="64" t="str">
        <f t="shared" si="13"/>
        <v>okolica Mokronoga</v>
      </c>
      <c r="AV30" s="15"/>
      <c r="AW30" s="42"/>
      <c r="AX30" s="15"/>
      <c r="AY30" s="15"/>
      <c r="AZ30" s="15"/>
      <c r="BA30" s="15"/>
      <c r="BB30" s="42"/>
      <c r="BC30" s="15"/>
      <c r="BD30" s="15"/>
      <c r="BE30" s="15"/>
      <c r="BF30" s="57"/>
      <c r="BG30" s="15">
        <v>5.32</v>
      </c>
      <c r="BH30" s="30">
        <f>BG30/BP30</f>
        <v>0.5541666666666667</v>
      </c>
      <c r="BI30" s="16" t="str">
        <f>CONCATENATE(BG30+40.56-1.41," kWh")</f>
        <v>44.47 kWh</v>
      </c>
      <c r="BJ30" s="15">
        <v>32.799999999999997</v>
      </c>
      <c r="BK30" s="30">
        <f t="shared" si="9"/>
        <v>3.4166666666666665</v>
      </c>
      <c r="BL30" s="16" t="str">
        <f>CONCATENATE(BJ30+31.86-24.58," kWh")</f>
        <v>40.08 kWh</v>
      </c>
      <c r="BM30" s="15">
        <f>SE_2023!F30</f>
        <v>0</v>
      </c>
      <c r="BN30" s="15">
        <f>SE_2023!G30</f>
        <v>1305.2083333333335</v>
      </c>
      <c r="BO30" s="15">
        <f>SE_2023!H30</f>
        <v>338.54166666666669</v>
      </c>
      <c r="BP30" s="15">
        <f>SE_2023!I30</f>
        <v>9.6</v>
      </c>
      <c r="BQ30" s="15">
        <f>SE_2023!J30</f>
        <v>190</v>
      </c>
      <c r="BR30" s="15">
        <f>SE_2023!K30</f>
        <v>43</v>
      </c>
      <c r="BS30" s="15">
        <f>SE_2023!L30</f>
        <v>9.6</v>
      </c>
      <c r="BT30" s="15">
        <f>SE_2023!M30</f>
        <v>9.6</v>
      </c>
      <c r="BU30" s="16" t="str">
        <f>SE_2023!N30</f>
        <v>SE aktivna od 22.8.2022</v>
      </c>
      <c r="BW30" s="1" t="s">
        <v>444</v>
      </c>
    </row>
    <row r="31" spans="1:75" ht="18.5" x14ac:dyDescent="0.35">
      <c r="A31" s="28">
        <f>SE_2023!A31</f>
        <v>28</v>
      </c>
      <c r="B31" s="33" t="str">
        <f>SE_2023!$B31</f>
        <v>Caps (gost)</v>
      </c>
      <c r="C31" s="16" t="str">
        <f>SE_2023!$C31</f>
        <v>okolica Vipave</v>
      </c>
      <c r="D31" s="15">
        <v>28.79</v>
      </c>
      <c r="E31" s="42">
        <f t="shared" si="2"/>
        <v>2.7007504690431516</v>
      </c>
      <c r="F31" s="15">
        <v>1400</v>
      </c>
      <c r="G31" s="42">
        <f t="shared" si="3"/>
        <v>131.33208255159474</v>
      </c>
      <c r="H31" s="15">
        <v>221</v>
      </c>
      <c r="I31" s="15"/>
      <c r="J31" s="15"/>
      <c r="K31" s="28"/>
      <c r="L31" s="33" t="str">
        <f>SE_2023!$B31</f>
        <v>Caps (gost)</v>
      </c>
      <c r="M31" s="16" t="str">
        <f>SE_2023!$C31</f>
        <v>okolica Vipave</v>
      </c>
      <c r="N31" s="15">
        <v>1330</v>
      </c>
      <c r="O31" s="42">
        <f t="shared" si="4"/>
        <v>124.765478424015</v>
      </c>
      <c r="P31" s="15">
        <v>584</v>
      </c>
      <c r="Q31" s="15"/>
      <c r="R31" s="15"/>
      <c r="S31" s="15"/>
      <c r="T31" s="33" t="str">
        <f>SE_2023!$B31</f>
        <v>Caps (gost)</v>
      </c>
      <c r="U31" s="16" t="str">
        <f>SE_2023!$C31</f>
        <v>okolica Vipave</v>
      </c>
      <c r="V31" s="15"/>
      <c r="W31" s="42">
        <f t="shared" si="5"/>
        <v>0</v>
      </c>
      <c r="X31" s="15"/>
      <c r="Y31" s="15"/>
      <c r="Z31" s="15"/>
      <c r="AA31" s="15"/>
      <c r="AB31" s="42">
        <f t="shared" si="6"/>
        <v>0</v>
      </c>
      <c r="AC31" s="15"/>
      <c r="AD31" s="15"/>
      <c r="AE31" s="15"/>
      <c r="AF31" s="56"/>
      <c r="AG31" s="76" t="str">
        <f t="shared" si="10"/>
        <v>Caps (gost)</v>
      </c>
      <c r="AH31" s="64" t="str">
        <f t="shared" si="11"/>
        <v>okolica Vipave</v>
      </c>
      <c r="AI31" s="15">
        <v>819</v>
      </c>
      <c r="AJ31" s="42">
        <f t="shared" si="7"/>
        <v>76.829268292682926</v>
      </c>
      <c r="AK31" s="15">
        <v>751</v>
      </c>
      <c r="AL31" s="15"/>
      <c r="AM31" s="15"/>
      <c r="AN31" s="15"/>
      <c r="AO31" s="42">
        <f t="shared" si="8"/>
        <v>0</v>
      </c>
      <c r="AP31" s="15"/>
      <c r="AQ31" s="15"/>
      <c r="AR31" s="15"/>
      <c r="AS31" s="56"/>
      <c r="AT31" s="76" t="str">
        <f t="shared" si="12"/>
        <v>Caps (gost)</v>
      </c>
      <c r="AU31" s="64" t="str">
        <f t="shared" si="13"/>
        <v>okolica Vipave</v>
      </c>
      <c r="AV31" s="15">
        <v>634</v>
      </c>
      <c r="AW31" s="42">
        <f>AV31/BP31</f>
        <v>59.474671669793622</v>
      </c>
      <c r="AX31" s="15">
        <v>1240</v>
      </c>
      <c r="AY31" s="15"/>
      <c r="AZ31" s="15">
        <v>1154</v>
      </c>
      <c r="BA31" s="15"/>
      <c r="BB31" s="42"/>
      <c r="BC31" s="15"/>
      <c r="BD31" s="15"/>
      <c r="BE31" s="15"/>
      <c r="BF31" s="57"/>
      <c r="BG31" s="15">
        <v>0.98</v>
      </c>
      <c r="BH31" s="30">
        <f>BG31/BP31</f>
        <v>9.193245778611632E-2</v>
      </c>
      <c r="BI31" s="16" t="s">
        <v>339</v>
      </c>
      <c r="BJ31" s="15">
        <v>31.3</v>
      </c>
      <c r="BK31" s="30">
        <f t="shared" si="9"/>
        <v>2.9362101313320825</v>
      </c>
      <c r="BL31" s="22" t="s">
        <v>338</v>
      </c>
      <c r="BM31" s="15">
        <f>SE_2023!F31</f>
        <v>1184.8030018761726</v>
      </c>
      <c r="BN31" s="15">
        <f>SE_2023!G31</f>
        <v>130.39399624765477</v>
      </c>
      <c r="BO31" s="15">
        <f>SE_2023!H31</f>
        <v>0</v>
      </c>
      <c r="BP31" s="15">
        <f>SE_2023!I31</f>
        <v>10.66</v>
      </c>
      <c r="BQ31" s="15">
        <f>SE_2023!J31</f>
        <v>150</v>
      </c>
      <c r="BR31" s="15">
        <f>SE_2023!K31</f>
        <v>20</v>
      </c>
      <c r="BS31" s="15">
        <f>SE_2023!L31</f>
        <v>10.5</v>
      </c>
      <c r="BT31" s="15">
        <f>SE_2023!M31</f>
        <v>0</v>
      </c>
      <c r="BU31" s="16" t="str">
        <f>SE_2023!N31</f>
        <v>Priklop oktober 2023</v>
      </c>
      <c r="BW31" s="1" t="s">
        <v>445</v>
      </c>
    </row>
    <row r="32" spans="1:75" ht="18.5" x14ac:dyDescent="0.35">
      <c r="A32" s="28">
        <f>SE_2023!A32</f>
        <v>29</v>
      </c>
      <c r="B32" s="33" t="str">
        <f>SE_2023!$B32</f>
        <v>wilson34</v>
      </c>
      <c r="C32" s="16" t="str">
        <f>SE_2023!$C32</f>
        <v>Prekmurje</v>
      </c>
      <c r="D32" s="15">
        <v>25.5</v>
      </c>
      <c r="E32" s="42">
        <f t="shared" si="2"/>
        <v>2.4519230769230766</v>
      </c>
      <c r="F32" s="15"/>
      <c r="G32" s="42">
        <f t="shared" si="3"/>
        <v>0</v>
      </c>
      <c r="H32" s="15"/>
      <c r="I32" s="15"/>
      <c r="J32" s="15"/>
      <c r="K32" s="28"/>
      <c r="L32" s="33" t="str">
        <f>SE_2023!$B32</f>
        <v>wilson34</v>
      </c>
      <c r="M32" s="16" t="str">
        <f>SE_2023!$C32</f>
        <v>Prekmurje</v>
      </c>
      <c r="N32" s="15"/>
      <c r="O32" s="42">
        <f t="shared" si="4"/>
        <v>0</v>
      </c>
      <c r="P32" s="15"/>
      <c r="Q32" s="15"/>
      <c r="R32" s="15"/>
      <c r="S32" s="15"/>
      <c r="T32" s="33" t="str">
        <f>SE_2023!$B32</f>
        <v>wilson34</v>
      </c>
      <c r="U32" s="16" t="str">
        <f>SE_2023!$C32</f>
        <v>Prekmurje</v>
      </c>
      <c r="V32" s="15">
        <v>970</v>
      </c>
      <c r="W32" s="42">
        <f t="shared" si="5"/>
        <v>93.269230769230759</v>
      </c>
      <c r="X32" s="15">
        <f>V32+753-653</f>
        <v>1070</v>
      </c>
      <c r="Y32" s="15"/>
      <c r="Z32" s="15"/>
      <c r="AA32" s="15">
        <v>1002</v>
      </c>
      <c r="AB32" s="42">
        <f t="shared" si="6"/>
        <v>96.34615384615384</v>
      </c>
      <c r="AC32" s="15">
        <f>AA32+788-682</f>
        <v>1108</v>
      </c>
      <c r="AD32" s="15"/>
      <c r="AE32" s="15"/>
      <c r="AF32" s="56"/>
      <c r="AG32" s="76" t="str">
        <f t="shared" si="10"/>
        <v>wilson34</v>
      </c>
      <c r="AH32" s="64" t="str">
        <f t="shared" si="11"/>
        <v>Prekmurje</v>
      </c>
      <c r="AI32" s="15"/>
      <c r="AJ32" s="42">
        <f t="shared" si="7"/>
        <v>0</v>
      </c>
      <c r="AK32" s="15"/>
      <c r="AL32" s="15"/>
      <c r="AM32" s="15"/>
      <c r="AN32" s="15"/>
      <c r="AO32" s="42">
        <f t="shared" si="8"/>
        <v>0</v>
      </c>
      <c r="AP32" s="15"/>
      <c r="AQ32" s="15"/>
      <c r="AR32" s="15"/>
      <c r="AS32" s="56"/>
      <c r="AT32" s="76" t="str">
        <f t="shared" si="12"/>
        <v>wilson34</v>
      </c>
      <c r="AU32" s="64" t="str">
        <f t="shared" si="13"/>
        <v>Prekmurje</v>
      </c>
      <c r="AV32" s="15"/>
      <c r="AW32" s="42"/>
      <c r="AX32" s="15"/>
      <c r="AY32" s="15"/>
      <c r="AZ32" s="15"/>
      <c r="BA32" s="15"/>
      <c r="BB32" s="42"/>
      <c r="BC32" s="15"/>
      <c r="BD32" s="15"/>
      <c r="BE32" s="15"/>
      <c r="BF32" s="57"/>
      <c r="BG32" s="15">
        <v>3.04</v>
      </c>
      <c r="BH32" s="30">
        <f>BG32/BP32</f>
        <v>0.29230769230769232</v>
      </c>
      <c r="BI32" s="16" t="str">
        <f>CONCATENATE(3.04+54.54-0," kWh")</f>
        <v>57.58 kWh</v>
      </c>
      <c r="BJ32" s="15">
        <v>16.399999999999999</v>
      </c>
      <c r="BK32" s="30">
        <f t="shared" si="9"/>
        <v>1.5769230769230766</v>
      </c>
      <c r="BL32" s="16" t="str">
        <f>CONCATENATE(16.4+54.34-6.39,"kWh")</f>
        <v>64.35kWh</v>
      </c>
      <c r="BM32" s="15">
        <f>SE_2023!F32</f>
        <v>1105.7692307692307</v>
      </c>
      <c r="BN32" s="15">
        <f>SE_2023!G32</f>
        <v>898.07692307692309</v>
      </c>
      <c r="BO32" s="15">
        <f>SE_2023!H32</f>
        <v>1182.6923076923076</v>
      </c>
      <c r="BP32" s="15">
        <f>SE_2023!I32</f>
        <v>10.4</v>
      </c>
      <c r="BQ32" s="15" t="str">
        <f>SE_2023!J32</f>
        <v>5.2 kW, 125
5.2 kW, 215</v>
      </c>
      <c r="BR32" s="15">
        <f>SE_2023!K32</f>
        <v>35</v>
      </c>
      <c r="BS32" s="15">
        <f>SE_2023!L32</f>
        <v>0</v>
      </c>
      <c r="BT32" s="15">
        <f>SE_2023!M32</f>
        <v>0</v>
      </c>
      <c r="BU32" s="16" t="str">
        <f>SE_2023!N30</f>
        <v>SE aktivna od 22.8.2022</v>
      </c>
      <c r="BW32" s="1" t="s">
        <v>446</v>
      </c>
    </row>
    <row r="33" spans="1:75" ht="18.5" x14ac:dyDescent="0.35">
      <c r="A33" s="28">
        <f>SE_2023!A33</f>
        <v>30</v>
      </c>
      <c r="B33" s="33" t="str">
        <f>SE_2023!$B33</f>
        <v>sašo65</v>
      </c>
      <c r="C33" s="16" t="str">
        <f>SE_2023!$C33</f>
        <v>Brežice</v>
      </c>
      <c r="D33" s="15"/>
      <c r="E33" s="42">
        <f t="shared" si="2"/>
        <v>0</v>
      </c>
      <c r="F33" s="15"/>
      <c r="G33" s="42">
        <f t="shared" si="3"/>
        <v>0</v>
      </c>
      <c r="H33" s="15"/>
      <c r="I33" s="15"/>
      <c r="J33" s="15"/>
      <c r="K33" s="28"/>
      <c r="L33" s="33" t="str">
        <f>SE_2023!$B33</f>
        <v>sašo65</v>
      </c>
      <c r="M33" s="16" t="str">
        <f>SE_2023!$C33</f>
        <v>Brežice</v>
      </c>
      <c r="N33" s="15"/>
      <c r="O33" s="42">
        <f t="shared" si="4"/>
        <v>0</v>
      </c>
      <c r="P33" s="15"/>
      <c r="Q33" s="15"/>
      <c r="R33" s="15"/>
      <c r="S33" s="15"/>
      <c r="T33" s="33" t="str">
        <f>SE_2023!$B33</f>
        <v>sašo65</v>
      </c>
      <c r="U33" s="16" t="str">
        <f>SE_2023!$C33</f>
        <v>Brežice</v>
      </c>
      <c r="V33" s="15">
        <v>1170</v>
      </c>
      <c r="W33" s="42">
        <f t="shared" si="5"/>
        <v>102.0052310374891</v>
      </c>
      <c r="X33" s="15">
        <v>585</v>
      </c>
      <c r="Y33" s="15"/>
      <c r="Z33" s="15"/>
      <c r="AA33" s="15"/>
      <c r="AB33" s="42">
        <f t="shared" si="6"/>
        <v>0</v>
      </c>
      <c r="AC33" s="15"/>
      <c r="AD33" s="15"/>
      <c r="AE33" s="15"/>
      <c r="AF33" s="56"/>
      <c r="AG33" s="76" t="str">
        <f t="shared" si="10"/>
        <v>sašo65</v>
      </c>
      <c r="AH33" s="64" t="str">
        <f t="shared" si="11"/>
        <v>Brežice</v>
      </c>
      <c r="AI33" s="15">
        <v>870</v>
      </c>
      <c r="AJ33" s="42">
        <f t="shared" si="7"/>
        <v>75.850043591979073</v>
      </c>
      <c r="AK33" s="15">
        <v>680</v>
      </c>
      <c r="AL33" s="15"/>
      <c r="AM33" s="15"/>
      <c r="AN33" s="15"/>
      <c r="AO33" s="42">
        <f t="shared" si="8"/>
        <v>0</v>
      </c>
      <c r="AP33" s="15"/>
      <c r="AQ33" s="15"/>
      <c r="AR33" s="15"/>
      <c r="AS33" s="56"/>
      <c r="AT33" s="76" t="str">
        <f t="shared" si="12"/>
        <v>sašo65</v>
      </c>
      <c r="AU33" s="64" t="str">
        <f t="shared" si="13"/>
        <v>Brežice</v>
      </c>
      <c r="AV33" s="15">
        <v>698</v>
      </c>
      <c r="AW33" s="42">
        <f>AV33/BP33</f>
        <v>60.854402789886656</v>
      </c>
      <c r="AX33" s="15">
        <f>698+994-439</f>
        <v>1253</v>
      </c>
      <c r="AY33" s="15"/>
      <c r="AZ33" s="15"/>
      <c r="BA33" s="15"/>
      <c r="BB33" s="42"/>
      <c r="BC33" s="15"/>
      <c r="BD33" s="15"/>
      <c r="BE33" s="15"/>
      <c r="BF33" s="57"/>
      <c r="BG33" s="15"/>
      <c r="BH33" s="15"/>
      <c r="BI33" s="16"/>
      <c r="BJ33" s="15">
        <v>5.8</v>
      </c>
      <c r="BK33" s="30">
        <f t="shared" si="9"/>
        <v>0.50566695727986044</v>
      </c>
      <c r="BL33" s="16" t="s">
        <v>310</v>
      </c>
      <c r="BM33" s="15">
        <f>SE_2023!F33</f>
        <v>0</v>
      </c>
      <c r="BN33" s="15">
        <f>SE_2023!G33</f>
        <v>0</v>
      </c>
      <c r="BO33" s="15">
        <f>SE_2023!H33</f>
        <v>0</v>
      </c>
      <c r="BP33" s="15">
        <f>SE_2023!I33</f>
        <v>11.47</v>
      </c>
      <c r="BQ33" s="15">
        <f>SE_2023!J33</f>
        <v>194</v>
      </c>
      <c r="BR33" s="15">
        <f>SE_2023!K33</f>
        <v>25</v>
      </c>
      <c r="BS33" s="15">
        <f>SE_2023!L33</f>
        <v>11.2</v>
      </c>
      <c r="BT33" s="15">
        <f>SE_2023!M33</f>
        <v>10.9</v>
      </c>
      <c r="BU33" s="16" t="str">
        <f>SE_2023!N33</f>
        <v>Zagon julij 2023
kWp = 27 x 425W</v>
      </c>
      <c r="BW33" s="1" t="s">
        <v>447</v>
      </c>
    </row>
    <row r="34" spans="1:75" ht="18.5" x14ac:dyDescent="0.35">
      <c r="A34" s="28">
        <f>SE_2023!A34</f>
        <v>31</v>
      </c>
      <c r="B34" s="33" t="str">
        <f>SE_2023!$B34</f>
        <v>Celje</v>
      </c>
      <c r="C34" s="16" t="str">
        <f>SE_2023!$C34</f>
        <v>okolica Celja</v>
      </c>
      <c r="D34" s="15"/>
      <c r="E34" s="42">
        <f t="shared" si="2"/>
        <v>0</v>
      </c>
      <c r="F34" s="15">
        <v>2050</v>
      </c>
      <c r="G34" s="42">
        <f t="shared" si="3"/>
        <v>131.41025641025641</v>
      </c>
      <c r="H34" s="15">
        <v>1000</v>
      </c>
      <c r="I34" s="15"/>
      <c r="J34" s="15"/>
      <c r="K34" s="28"/>
      <c r="L34" s="33" t="str">
        <f>SE_2023!$B34</f>
        <v>Celje</v>
      </c>
      <c r="M34" s="16" t="str">
        <f>SE_2023!$C34</f>
        <v>okolica Celja</v>
      </c>
      <c r="N34" s="15">
        <v>2100</v>
      </c>
      <c r="O34" s="42">
        <f t="shared" si="4"/>
        <v>134.61538461538461</v>
      </c>
      <c r="P34" s="15">
        <v>1700</v>
      </c>
      <c r="Q34" s="15"/>
      <c r="R34" s="15"/>
      <c r="S34" s="15"/>
      <c r="T34" s="33" t="str">
        <f>SE_2023!$B34</f>
        <v>Celje</v>
      </c>
      <c r="U34" s="16" t="str">
        <f>SE_2023!$C34</f>
        <v>okolica Celja</v>
      </c>
      <c r="V34" s="15">
        <v>1480</v>
      </c>
      <c r="W34" s="42">
        <f t="shared" si="5"/>
        <v>94.871794871794876</v>
      </c>
      <c r="X34" s="15">
        <v>2200</v>
      </c>
      <c r="Y34" s="15"/>
      <c r="Z34" s="15"/>
      <c r="AA34" s="15"/>
      <c r="AB34" s="42">
        <f t="shared" si="6"/>
        <v>0</v>
      </c>
      <c r="AC34" s="15"/>
      <c r="AD34" s="15"/>
      <c r="AE34" s="15"/>
      <c r="AF34" s="56"/>
      <c r="AG34" s="76" t="str">
        <f t="shared" si="10"/>
        <v>Celje</v>
      </c>
      <c r="AH34" s="64" t="str">
        <f t="shared" si="11"/>
        <v>okolica Celja</v>
      </c>
      <c r="AI34" s="15">
        <v>991</v>
      </c>
      <c r="AJ34" s="42">
        <f t="shared" si="7"/>
        <v>63.525641025641029</v>
      </c>
      <c r="AK34" s="15">
        <v>2400</v>
      </c>
      <c r="AL34" s="15"/>
      <c r="AM34" s="15"/>
      <c r="AN34" s="15"/>
      <c r="AO34" s="42">
        <f t="shared" si="8"/>
        <v>0</v>
      </c>
      <c r="AP34" s="15"/>
      <c r="AQ34" s="15"/>
      <c r="AR34" s="15"/>
      <c r="AS34" s="56"/>
      <c r="AT34" s="76" t="str">
        <f t="shared" si="12"/>
        <v>Celje</v>
      </c>
      <c r="AU34" s="64" t="str">
        <f t="shared" si="13"/>
        <v>okolica Celja</v>
      </c>
      <c r="AV34" s="15">
        <v>659</v>
      </c>
      <c r="AW34" s="42">
        <f>AV34/BP34</f>
        <v>42.243589743589745</v>
      </c>
      <c r="AX34" s="15">
        <v>3200</v>
      </c>
      <c r="AY34" s="15"/>
      <c r="AZ34" s="15"/>
      <c r="BA34" s="15"/>
      <c r="BB34" s="42"/>
      <c r="BC34" s="15"/>
      <c r="BD34" s="15"/>
      <c r="BE34" s="15"/>
      <c r="BF34" s="57"/>
      <c r="BG34" s="35">
        <v>7.51</v>
      </c>
      <c r="BH34" s="30">
        <f>BG34/BP34</f>
        <v>0.48141025641025642</v>
      </c>
      <c r="BI34" s="36" t="s">
        <v>351</v>
      </c>
      <c r="BJ34" s="15">
        <v>8.2200000000000006</v>
      </c>
      <c r="BK34" s="30">
        <f t="shared" si="9"/>
        <v>0.52692307692307694</v>
      </c>
      <c r="BL34" s="36" t="s">
        <v>350</v>
      </c>
      <c r="BM34" s="15">
        <f>SE_2023!F34</f>
        <v>0</v>
      </c>
      <c r="BN34" s="15">
        <f>SE_2023!G34</f>
        <v>0</v>
      </c>
      <c r="BO34" s="15">
        <f>SE_2023!H34</f>
        <v>0</v>
      </c>
      <c r="BP34" s="15">
        <f>SE_2023!I34</f>
        <v>15.6</v>
      </c>
      <c r="BQ34" s="15" t="str">
        <f>SE_2023!J34</f>
        <v>6.746 kW, 136.4
8.854 kW, 223.5</v>
      </c>
      <c r="BR34" s="15" t="str">
        <f>SE_2023!K34</f>
        <v>?</v>
      </c>
      <c r="BS34" s="15">
        <f>SE_2023!L34</f>
        <v>13.6</v>
      </c>
      <c r="BT34" s="15">
        <f>SE_2023!M34</f>
        <v>0</v>
      </c>
      <c r="BU34" s="16" t="str">
        <f>SE_2023!N34</f>
        <v>Začetek obratovanja 9/2023</v>
      </c>
      <c r="BW34" s="1" t="s">
        <v>448</v>
      </c>
    </row>
    <row r="35" spans="1:75" ht="18.5" x14ac:dyDescent="0.35">
      <c r="A35" s="28">
        <f>SE_2023!A35</f>
        <v>32</v>
      </c>
      <c r="B35" s="33" t="str">
        <f>SE_2023!$B35</f>
        <v>vrzislo</v>
      </c>
      <c r="C35" s="16" t="str">
        <f>SE_2023!$C35</f>
        <v>Ljubno ob Savinji</v>
      </c>
      <c r="D35" s="15">
        <v>35.5</v>
      </c>
      <c r="E35" s="42">
        <f t="shared" si="2"/>
        <v>2.385752688172043</v>
      </c>
      <c r="F35" s="14"/>
      <c r="G35" s="42">
        <f t="shared" si="3"/>
        <v>0</v>
      </c>
      <c r="H35" s="15"/>
      <c r="I35" s="16"/>
      <c r="J35" s="16"/>
      <c r="K35" s="28"/>
      <c r="L35" s="33" t="str">
        <f>SE_2023!$B35</f>
        <v>vrzislo</v>
      </c>
      <c r="M35" s="16" t="str">
        <f>SE_2023!$C35</f>
        <v>Ljubno ob Savinji</v>
      </c>
      <c r="N35" s="14"/>
      <c r="O35" s="42">
        <f t="shared" si="4"/>
        <v>0</v>
      </c>
      <c r="P35" s="15"/>
      <c r="Q35" s="16"/>
      <c r="R35" s="16"/>
      <c r="S35" s="16"/>
      <c r="T35" s="33" t="str">
        <f>SE_2023!$B35</f>
        <v>vrzislo</v>
      </c>
      <c r="U35" s="16" t="str">
        <f>SE_2023!$C35</f>
        <v>Ljubno ob Savinji</v>
      </c>
      <c r="V35" s="14"/>
      <c r="W35" s="42">
        <f t="shared" si="5"/>
        <v>0</v>
      </c>
      <c r="X35" s="15"/>
      <c r="Y35" s="16"/>
      <c r="Z35" s="16"/>
      <c r="AA35" s="14"/>
      <c r="AB35" s="42">
        <f t="shared" si="6"/>
        <v>0</v>
      </c>
      <c r="AC35" s="16"/>
      <c r="AD35" s="16"/>
      <c r="AE35" s="16"/>
      <c r="AF35" s="56"/>
      <c r="AG35" s="76" t="str">
        <f t="shared" si="10"/>
        <v>vrzislo</v>
      </c>
      <c r="AH35" s="64" t="str">
        <f t="shared" si="11"/>
        <v>Ljubno ob Savinji</v>
      </c>
      <c r="AI35" s="14">
        <v>964</v>
      </c>
      <c r="AJ35" s="42">
        <f t="shared" si="7"/>
        <v>64.784946236559136</v>
      </c>
      <c r="AK35" s="15">
        <f>AI35*2</f>
        <v>1928</v>
      </c>
      <c r="AL35" s="16"/>
      <c r="AM35" s="16"/>
      <c r="AN35" s="14">
        <f>AI35*1.22</f>
        <v>1176.08</v>
      </c>
      <c r="AO35" s="42">
        <f t="shared" si="8"/>
        <v>79.037634408602145</v>
      </c>
      <c r="AP35" s="16"/>
      <c r="AQ35" s="16"/>
      <c r="AR35" s="16"/>
      <c r="AS35" s="56"/>
      <c r="AT35" s="76" t="str">
        <f t="shared" si="12"/>
        <v>vrzislo</v>
      </c>
      <c r="AU35" s="64" t="str">
        <f t="shared" si="13"/>
        <v>Ljubno ob Savinji</v>
      </c>
      <c r="AV35" s="14">
        <v>723</v>
      </c>
      <c r="AW35" s="42">
        <f>AV35/BP35</f>
        <v>48.588709677419352</v>
      </c>
      <c r="AX35" s="15">
        <v>2660</v>
      </c>
      <c r="AY35" s="16"/>
      <c r="AZ35" s="16"/>
      <c r="BA35" s="16"/>
      <c r="BB35" s="16"/>
      <c r="BC35" s="16"/>
      <c r="BD35" s="16"/>
      <c r="BE35" s="16"/>
      <c r="BF35" s="56"/>
      <c r="BG35" s="16"/>
      <c r="BH35" s="16"/>
      <c r="BI35" s="16"/>
      <c r="BJ35" s="16"/>
      <c r="BK35" s="16"/>
      <c r="BL35" s="16"/>
      <c r="BM35" s="15">
        <f>SE_2023!F35</f>
        <v>1135.752688172043</v>
      </c>
      <c r="BN35" s="15">
        <f>SE_2023!G35</f>
        <v>1116.8010752688172</v>
      </c>
      <c r="BO35" s="15">
        <f>SE_2023!H35</f>
        <v>0</v>
      </c>
      <c r="BP35" s="15">
        <f>SE_2023!I35</f>
        <v>14.88</v>
      </c>
      <c r="BQ35" s="15">
        <f>SE_2023!J35</f>
        <v>135</v>
      </c>
      <c r="BR35" s="15">
        <f>SE_2023!K35</f>
        <v>32</v>
      </c>
      <c r="BS35" s="15">
        <f>SE_2023!L35</f>
        <v>0</v>
      </c>
      <c r="BT35" s="15">
        <f>SE_2023!M35</f>
        <v>10.8</v>
      </c>
      <c r="BU35" s="16" t="str">
        <f>SE_2023!N35</f>
        <v>V zimskem času senčenje predvsem spodnje vrste zaradi dreves v bližini. 
Okoli 10 dni ni bilo pravega delovanja Solar Edge zaradi udara strele v juliju (2023).
SE postavljena v letu 2019.</v>
      </c>
      <c r="BW35" s="1" t="s">
        <v>449</v>
      </c>
    </row>
    <row r="36" spans="1:75" ht="18.5" x14ac:dyDescent="0.35">
      <c r="A36" s="28">
        <f>SE_2023!A36</f>
        <v>33</v>
      </c>
      <c r="B36" s="33" t="str">
        <f>SE_2023!$B36</f>
        <v>Mr_Fizl</v>
      </c>
      <c r="C36" s="16" t="str">
        <f>SE_2023!$C36</f>
        <v>Dol pri Ljubljani</v>
      </c>
      <c r="D36" s="15">
        <v>34</v>
      </c>
      <c r="E36" s="42">
        <f t="shared" si="2"/>
        <v>2.3351648351648353</v>
      </c>
      <c r="F36" s="14">
        <v>1910</v>
      </c>
      <c r="G36" s="42">
        <f t="shared" si="3"/>
        <v>131.18131868131869</v>
      </c>
      <c r="H36" s="15">
        <v>776</v>
      </c>
      <c r="I36" s="16"/>
      <c r="J36" s="16"/>
      <c r="K36" s="28"/>
      <c r="L36" s="33" t="str">
        <f>SE_2023!$B36</f>
        <v>Mr_Fizl</v>
      </c>
      <c r="M36" s="16" t="str">
        <f>SE_2023!$C36</f>
        <v>Dol pri Ljubljani</v>
      </c>
      <c r="N36" s="14">
        <v>1850</v>
      </c>
      <c r="O36" s="42">
        <f t="shared" si="4"/>
        <v>127.06043956043956</v>
      </c>
      <c r="P36" s="15">
        <v>787</v>
      </c>
      <c r="Q36" s="16"/>
      <c r="R36" s="16"/>
      <c r="S36" s="16"/>
      <c r="T36" s="33" t="str">
        <f>SE_2023!$B36</f>
        <v>Mr_Fizl</v>
      </c>
      <c r="U36" s="16" t="str">
        <f>SE_2023!$C36</f>
        <v>Dol pri Ljubljani</v>
      </c>
      <c r="V36" s="14"/>
      <c r="W36" s="42">
        <f t="shared" si="5"/>
        <v>0</v>
      </c>
      <c r="X36" s="15"/>
      <c r="Y36" s="16"/>
      <c r="Z36" s="16"/>
      <c r="AA36" s="15"/>
      <c r="AB36" s="42">
        <f t="shared" si="6"/>
        <v>0</v>
      </c>
      <c r="AC36" s="16"/>
      <c r="AD36" s="16"/>
      <c r="AE36" s="16"/>
      <c r="AF36" s="56"/>
      <c r="AG36" s="76" t="str">
        <f t="shared" si="10"/>
        <v>Mr_Fizl</v>
      </c>
      <c r="AH36" s="64" t="str">
        <f t="shared" si="11"/>
        <v>Dol pri Ljubljani</v>
      </c>
      <c r="AI36" s="14"/>
      <c r="AJ36" s="42">
        <f t="shared" si="7"/>
        <v>0</v>
      </c>
      <c r="AK36" s="15"/>
      <c r="AL36" s="16"/>
      <c r="AM36" s="16"/>
      <c r="AN36" s="15"/>
      <c r="AO36" s="42">
        <f t="shared" si="8"/>
        <v>0</v>
      </c>
      <c r="AP36" s="16"/>
      <c r="AQ36" s="16"/>
      <c r="AR36" s="16"/>
      <c r="AS36" s="56"/>
      <c r="AT36" s="76" t="str">
        <f t="shared" si="12"/>
        <v>Mr_Fizl</v>
      </c>
      <c r="AU36" s="64" t="str">
        <f t="shared" si="13"/>
        <v>Dol pri Ljubljani</v>
      </c>
      <c r="AV36" s="14">
        <v>456</v>
      </c>
      <c r="AW36" s="42">
        <f>AV36/BP36</f>
        <v>31.318681318681318</v>
      </c>
      <c r="AX36" s="15">
        <v>1030</v>
      </c>
      <c r="AY36" s="16"/>
      <c r="AZ36" s="16"/>
      <c r="BA36" s="15">
        <v>324</v>
      </c>
      <c r="BB36" s="42">
        <f>BA36/BP36</f>
        <v>22.252747252747252</v>
      </c>
      <c r="BC36" s="16"/>
      <c r="BD36" s="16"/>
      <c r="BE36" s="16"/>
      <c r="BF36" s="56"/>
      <c r="BG36" s="16"/>
      <c r="BH36" s="16"/>
      <c r="BI36" s="16"/>
      <c r="BJ36" s="16"/>
      <c r="BK36" s="16"/>
      <c r="BL36" s="16"/>
      <c r="BM36" s="15">
        <f>SE_2023!F36</f>
        <v>1071.4285714285713</v>
      </c>
      <c r="BN36" s="15">
        <f>SE_2023!G36</f>
        <v>0</v>
      </c>
      <c r="BO36" s="15">
        <f>SE_2023!H36</f>
        <v>0</v>
      </c>
      <c r="BP36" s="15">
        <f>SE_2023!I36</f>
        <v>14.56</v>
      </c>
      <c r="BQ36" s="15">
        <f>SE_2023!J36</f>
        <v>126</v>
      </c>
      <c r="BR36" s="15" t="str">
        <f>SE_2023!K36</f>
        <v>?</v>
      </c>
      <c r="BS36" s="15">
        <f>SE_2023!L36</f>
        <v>0</v>
      </c>
      <c r="BT36" s="15">
        <f>SE_2023!M36</f>
        <v>0</v>
      </c>
      <c r="BU36" s="16">
        <f>SE_2023!N36</f>
        <v>0</v>
      </c>
      <c r="BW36" s="1" t="s">
        <v>450</v>
      </c>
    </row>
    <row r="37" spans="1:75" ht="18.5" x14ac:dyDescent="0.35">
      <c r="A37" s="28">
        <f>SE_2023!A37</f>
        <v>34</v>
      </c>
      <c r="B37" s="33" t="str">
        <f>SE_2023!$B37</f>
        <v>oTTo</v>
      </c>
      <c r="C37" s="16" t="str">
        <f>SE_2023!$C37</f>
        <v>Škofja Loka</v>
      </c>
      <c r="D37" s="15"/>
      <c r="E37" s="42">
        <f t="shared" si="2"/>
        <v>0</v>
      </c>
      <c r="F37" s="15">
        <v>1432</v>
      </c>
      <c r="G37" s="42">
        <f t="shared" si="3"/>
        <v>123.34194659776055</v>
      </c>
      <c r="H37" s="14">
        <v>479</v>
      </c>
      <c r="I37" s="16"/>
      <c r="J37" s="15">
        <f>0+153</f>
        <v>153</v>
      </c>
      <c r="K37" s="28"/>
      <c r="L37" s="33" t="str">
        <f>SE_2023!$B37</f>
        <v>oTTo</v>
      </c>
      <c r="M37" s="16" t="str">
        <f>SE_2023!$C37</f>
        <v>Škofja Loka</v>
      </c>
      <c r="N37" s="15">
        <v>1520</v>
      </c>
      <c r="O37" s="42">
        <f t="shared" si="4"/>
        <v>130.92161929371233</v>
      </c>
      <c r="P37" s="14">
        <v>680</v>
      </c>
      <c r="Q37" s="16"/>
      <c r="R37" s="15">
        <f>224+166</f>
        <v>390</v>
      </c>
      <c r="S37" s="15"/>
      <c r="T37" s="33" t="str">
        <f>SE_2023!$B37</f>
        <v>oTTo</v>
      </c>
      <c r="U37" s="16" t="str">
        <f>SE_2023!$C37</f>
        <v>Škofja Loka</v>
      </c>
      <c r="V37" s="15">
        <v>997</v>
      </c>
      <c r="W37" s="42">
        <f t="shared" si="5"/>
        <v>85.874246339362628</v>
      </c>
      <c r="X37" s="14">
        <v>880</v>
      </c>
      <c r="Y37" s="16"/>
      <c r="Z37" s="15"/>
      <c r="AA37" s="16"/>
      <c r="AB37" s="42">
        <f t="shared" si="6"/>
        <v>0</v>
      </c>
      <c r="AC37" s="16"/>
      <c r="AD37" s="16"/>
      <c r="AE37" s="16"/>
      <c r="AF37" s="56"/>
      <c r="AG37" s="76" t="str">
        <f t="shared" si="10"/>
        <v>oTTo</v>
      </c>
      <c r="AH37" s="64" t="str">
        <f t="shared" si="11"/>
        <v>Škofja Loka</v>
      </c>
      <c r="AI37" s="15">
        <v>691</v>
      </c>
      <c r="AJ37" s="42">
        <f t="shared" si="7"/>
        <v>59.517657192075802</v>
      </c>
      <c r="AK37" s="14">
        <v>1072</v>
      </c>
      <c r="AL37" s="16"/>
      <c r="AM37" s="15">
        <f>553+185</f>
        <v>738</v>
      </c>
      <c r="AN37" s="16"/>
      <c r="AO37" s="42">
        <f t="shared" si="8"/>
        <v>0</v>
      </c>
      <c r="AP37" s="16"/>
      <c r="AQ37" s="16"/>
      <c r="AR37" s="16"/>
      <c r="AS37" s="56"/>
      <c r="AT37" s="76" t="str">
        <f t="shared" si="12"/>
        <v>oTTo</v>
      </c>
      <c r="AU37" s="64" t="str">
        <f t="shared" si="13"/>
        <v>Škofja Loka</v>
      </c>
      <c r="AV37" s="15">
        <v>647</v>
      </c>
      <c r="AW37" s="42">
        <f t="shared" ref="AW37:AW40" si="15">AV37/BP37</f>
        <v>55.727820844099917</v>
      </c>
      <c r="AX37" s="14">
        <v>1684.9</v>
      </c>
      <c r="AY37" s="16"/>
      <c r="AZ37" s="16"/>
      <c r="BA37" s="16"/>
      <c r="BB37" s="16"/>
      <c r="BC37" s="16"/>
      <c r="BD37" s="16"/>
      <c r="BE37" s="16"/>
      <c r="BF37" s="56"/>
      <c r="BG37" s="16"/>
      <c r="BH37" s="16"/>
      <c r="BI37" s="16"/>
      <c r="BJ37" s="16"/>
      <c r="BK37" s="16"/>
      <c r="BL37" s="16"/>
      <c r="BM37" s="15">
        <f>SE_2023!F37</f>
        <v>0</v>
      </c>
      <c r="BN37" s="15">
        <f>SE_2023!G37</f>
        <v>68.647717484926787</v>
      </c>
      <c r="BO37" s="15">
        <f>SE_2023!H37</f>
        <v>0</v>
      </c>
      <c r="BP37" s="15">
        <f>SE_2023!I37</f>
        <v>11.61</v>
      </c>
      <c r="BQ37" s="15">
        <f>SE_2023!J37</f>
        <v>209</v>
      </c>
      <c r="BR37" s="15">
        <f>SE_2023!K37</f>
        <v>36</v>
      </c>
      <c r="BS37" s="15">
        <f>SE_2023!L37</f>
        <v>0</v>
      </c>
      <c r="BT37" s="15">
        <f>SE_2023!M37</f>
        <v>10.8</v>
      </c>
      <c r="BU37" s="16" t="str">
        <f>SE_2023!N37</f>
        <v>Zagnana 17.11.2023</v>
      </c>
      <c r="BW37" s="1" t="s">
        <v>451</v>
      </c>
    </row>
    <row r="38" spans="1:75" ht="18.5" x14ac:dyDescent="0.35">
      <c r="A38" s="28">
        <f>SE_2023!A38</f>
        <v>35</v>
      </c>
      <c r="B38" s="33" t="str">
        <f>SE_2023!$B38</f>
        <v>ufm</v>
      </c>
      <c r="C38" s="16" t="str">
        <f>SE_2023!$C38</f>
        <v>Osrednja Slovenija, 
380 m n.v.</v>
      </c>
      <c r="D38" s="15"/>
      <c r="E38" s="42">
        <f t="shared" si="2"/>
        <v>0</v>
      </c>
      <c r="F38" s="15"/>
      <c r="G38" s="42">
        <f t="shared" si="3"/>
        <v>0</v>
      </c>
      <c r="H38" s="15"/>
      <c r="I38" s="16"/>
      <c r="J38" s="16"/>
      <c r="K38" s="28"/>
      <c r="L38" s="33" t="str">
        <f>SE_2023!$B38</f>
        <v>ufm</v>
      </c>
      <c r="M38" s="16" t="str">
        <f>SE_2023!$C38</f>
        <v>Osrednja Slovenija, 
380 m n.v.</v>
      </c>
      <c r="N38" s="15"/>
      <c r="O38" s="42">
        <f t="shared" si="4"/>
        <v>0</v>
      </c>
      <c r="P38" s="15"/>
      <c r="Q38" s="16"/>
      <c r="R38" s="16"/>
      <c r="S38" s="16"/>
      <c r="T38" s="33" t="str">
        <f>SE_2023!$B38</f>
        <v>ufm</v>
      </c>
      <c r="U38" s="16" t="str">
        <f>SE_2023!$C38</f>
        <v>Osrednja Slovenija, 
380 m n.v.</v>
      </c>
      <c r="V38" s="15"/>
      <c r="W38" s="42">
        <f t="shared" si="5"/>
        <v>0</v>
      </c>
      <c r="X38" s="15"/>
      <c r="Y38" s="16"/>
      <c r="Z38" s="16"/>
      <c r="AA38" s="16"/>
      <c r="AB38" s="42">
        <f t="shared" si="6"/>
        <v>0</v>
      </c>
      <c r="AC38" s="16"/>
      <c r="AD38" s="16"/>
      <c r="AE38" s="16"/>
      <c r="AF38" s="56"/>
      <c r="AG38" s="76" t="str">
        <f t="shared" si="10"/>
        <v>ufm</v>
      </c>
      <c r="AH38" s="64" t="str">
        <f t="shared" si="11"/>
        <v>Osrednja Slovenija, 
380 m n.v.</v>
      </c>
      <c r="AI38" s="15"/>
      <c r="AJ38" s="42">
        <f t="shared" si="7"/>
        <v>0</v>
      </c>
      <c r="AK38" s="15"/>
      <c r="AL38" s="16"/>
      <c r="AM38" s="16"/>
      <c r="AN38" s="16"/>
      <c r="AO38" s="42">
        <f t="shared" si="8"/>
        <v>0</v>
      </c>
      <c r="AP38" s="16"/>
      <c r="AQ38" s="16"/>
      <c r="AR38" s="16"/>
      <c r="AS38" s="56"/>
      <c r="AT38" s="76" t="str">
        <f t="shared" si="12"/>
        <v>ufm</v>
      </c>
      <c r="AU38" s="64" t="str">
        <f t="shared" si="13"/>
        <v>Osrednja Slovenija, 
380 m n.v.</v>
      </c>
      <c r="AV38" s="15">
        <v>343</v>
      </c>
      <c r="AW38" s="42">
        <f t="shared" si="15"/>
        <v>27.84090909090909</v>
      </c>
      <c r="AX38" s="15">
        <f>343+1690-128</f>
        <v>1905</v>
      </c>
      <c r="AY38" s="16"/>
      <c r="AZ38" s="16"/>
      <c r="BA38" s="16"/>
      <c r="BB38" s="16"/>
      <c r="BC38" s="16"/>
      <c r="BD38" s="16"/>
      <c r="BE38" s="16"/>
      <c r="BF38" s="56"/>
      <c r="BG38" s="16"/>
      <c r="BH38" s="16"/>
      <c r="BI38" s="16"/>
      <c r="BJ38" s="15"/>
      <c r="BK38" s="30"/>
      <c r="BL38" s="16"/>
      <c r="BM38" s="15">
        <f>SE_2023!F38</f>
        <v>0</v>
      </c>
      <c r="BN38" s="15">
        <f>SE_2023!G38</f>
        <v>0</v>
      </c>
      <c r="BO38" s="15">
        <f>SE_2023!H38</f>
        <v>0</v>
      </c>
      <c r="BP38" s="15">
        <f>SE_2023!I38</f>
        <v>12.32</v>
      </c>
      <c r="BQ38" s="15" t="str">
        <f>SE_2023!J38</f>
        <v>8.36 kW, 245
3.96 kW, 65</v>
      </c>
      <c r="BR38" s="15" t="str">
        <f>SE_2023!K38</f>
        <v>29
19</v>
      </c>
      <c r="BS38" s="15">
        <f>SE_2023!L38</f>
        <v>3</v>
      </c>
      <c r="BT38" s="15">
        <f>SE_2023!M38</f>
        <v>2.85</v>
      </c>
      <c r="BU38" s="16" t="str">
        <f>SE_2023!N38</f>
        <v>Zagon 18.10.2023
Baterija 9.2 kW
Limitirana proizvodnja na 10 kW, soglasje z omejitvijo 3 kW.</v>
      </c>
    </row>
    <row r="39" spans="1:75" ht="18.5" x14ac:dyDescent="0.35">
      <c r="A39" s="28">
        <f>SE_2023!A39</f>
        <v>36</v>
      </c>
      <c r="B39" s="33" t="str">
        <f>SE_2023!$B39</f>
        <v>Letalec</v>
      </c>
      <c r="C39" s="16" t="str">
        <f>SE_2023!$C39</f>
        <v>okolica Bleda</v>
      </c>
      <c r="D39" s="15">
        <v>39.909999999999997</v>
      </c>
      <c r="E39" s="42">
        <f t="shared" si="2"/>
        <v>3.3980417198808004</v>
      </c>
      <c r="F39" s="16"/>
      <c r="G39" s="42">
        <f t="shared" si="3"/>
        <v>0</v>
      </c>
      <c r="H39" s="16"/>
      <c r="I39" s="16"/>
      <c r="J39" s="16"/>
      <c r="K39" s="28"/>
      <c r="L39" s="33" t="str">
        <f>SE_2023!$B39</f>
        <v>Letalec</v>
      </c>
      <c r="M39" s="16" t="str">
        <f>SE_2023!$C39</f>
        <v>okolica Bleda</v>
      </c>
      <c r="N39" s="16"/>
      <c r="O39" s="42">
        <f t="shared" si="4"/>
        <v>0</v>
      </c>
      <c r="P39" s="16"/>
      <c r="Q39" s="16"/>
      <c r="R39" s="16"/>
      <c r="S39" s="16"/>
      <c r="T39" s="33" t="str">
        <f>SE_2023!$B39</f>
        <v>Letalec</v>
      </c>
      <c r="U39" s="16" t="str">
        <f>SE_2023!$C39</f>
        <v>okolica Bleda</v>
      </c>
      <c r="V39" s="16"/>
      <c r="W39" s="42">
        <f t="shared" si="5"/>
        <v>0</v>
      </c>
      <c r="X39" s="16"/>
      <c r="Y39" s="16"/>
      <c r="Z39" s="16"/>
      <c r="AA39" s="16"/>
      <c r="AB39" s="42">
        <f t="shared" si="6"/>
        <v>0</v>
      </c>
      <c r="AC39" s="16"/>
      <c r="AD39" s="16"/>
      <c r="AE39" s="16"/>
      <c r="AF39" s="56"/>
      <c r="AG39" s="76" t="str">
        <f t="shared" si="10"/>
        <v>Letalec</v>
      </c>
      <c r="AH39" s="64" t="str">
        <f t="shared" si="11"/>
        <v>okolica Bleda</v>
      </c>
      <c r="AI39" s="16"/>
      <c r="AJ39" s="42">
        <f t="shared" si="7"/>
        <v>0</v>
      </c>
      <c r="AK39" s="16"/>
      <c r="AL39" s="16"/>
      <c r="AM39" s="16"/>
      <c r="AN39" s="16"/>
      <c r="AO39" s="42">
        <f t="shared" si="8"/>
        <v>0</v>
      </c>
      <c r="AP39" s="16"/>
      <c r="AQ39" s="16"/>
      <c r="AR39" s="16"/>
      <c r="AS39" s="56"/>
      <c r="AT39" s="76" t="str">
        <f t="shared" si="12"/>
        <v>Letalec</v>
      </c>
      <c r="AU39" s="64" t="str">
        <f t="shared" si="13"/>
        <v>okolica Bleda</v>
      </c>
      <c r="AV39" s="16"/>
      <c r="AW39" s="16"/>
      <c r="AX39" s="16"/>
      <c r="AY39" s="16"/>
      <c r="AZ39" s="16"/>
      <c r="BA39" s="16"/>
      <c r="BB39" s="16"/>
      <c r="BC39" s="16"/>
      <c r="BD39" s="16"/>
      <c r="BE39" s="16"/>
      <c r="BF39" s="56"/>
      <c r="BG39" s="16"/>
      <c r="BH39" s="16"/>
      <c r="BI39" s="16"/>
      <c r="BJ39" s="15"/>
      <c r="BK39" s="30"/>
      <c r="BL39" s="16"/>
      <c r="BM39" s="15">
        <f>SE_2023!F39</f>
        <v>1160.493827160494</v>
      </c>
      <c r="BN39" s="15">
        <f>SE_2023!G39</f>
        <v>0</v>
      </c>
      <c r="BO39" s="15">
        <f>SE_2023!H39</f>
        <v>0</v>
      </c>
      <c r="BP39" s="15">
        <f>SE_2023!I39</f>
        <v>11.744999999999999</v>
      </c>
      <c r="BQ39" s="15">
        <f>SE_2023!J39</f>
        <v>145</v>
      </c>
      <c r="BR39" s="15">
        <f>SE_2023!K39</f>
        <v>40</v>
      </c>
      <c r="BS39" s="15">
        <f>SE_2023!L39</f>
        <v>11.2</v>
      </c>
      <c r="BT39" s="15">
        <f>SE_2023!M39</f>
        <v>0</v>
      </c>
      <c r="BU39" s="16" t="str">
        <f>SE_2023!N39</f>
        <v>Priklop 5.2.2024</v>
      </c>
      <c r="BW39" s="1" t="s">
        <v>452</v>
      </c>
    </row>
    <row r="40" spans="1:75" s="63" customFormat="1" ht="18.5" x14ac:dyDescent="0.35">
      <c r="A40" s="28">
        <f>SE_2023!A40</f>
        <v>37</v>
      </c>
      <c r="B40" s="33" t="str">
        <f>SE_2023!$B40</f>
        <v>misace</v>
      </c>
      <c r="C40" s="16" t="str">
        <f>SE_2023!$C40</f>
        <v>pri Radovljici</v>
      </c>
      <c r="D40" s="15"/>
      <c r="E40" s="42">
        <f t="shared" si="2"/>
        <v>0</v>
      </c>
      <c r="F40" s="65"/>
      <c r="G40" s="42">
        <f t="shared" si="3"/>
        <v>0</v>
      </c>
      <c r="H40" s="64"/>
      <c r="I40" s="64"/>
      <c r="J40" s="64"/>
      <c r="K40" s="28"/>
      <c r="L40" s="33" t="str">
        <f>SE_2023!$B40</f>
        <v>misace</v>
      </c>
      <c r="M40" s="16" t="str">
        <f>SE_2023!$C40</f>
        <v>pri Radovljici</v>
      </c>
      <c r="N40" s="65"/>
      <c r="O40" s="42">
        <f t="shared" si="4"/>
        <v>0</v>
      </c>
      <c r="P40" s="64"/>
      <c r="Q40" s="64"/>
      <c r="R40" s="64"/>
      <c r="S40" s="64"/>
      <c r="T40" s="33" t="str">
        <f>SE_2023!$B40</f>
        <v>misace</v>
      </c>
      <c r="U40" s="16" t="str">
        <f>SE_2023!$C40</f>
        <v>pri Radovljici</v>
      </c>
      <c r="V40" s="65"/>
      <c r="W40" s="42">
        <f t="shared" si="5"/>
        <v>0</v>
      </c>
      <c r="X40" s="64"/>
      <c r="Y40" s="64"/>
      <c r="Z40" s="64"/>
      <c r="AA40" s="64"/>
      <c r="AB40" s="42">
        <f t="shared" si="6"/>
        <v>0</v>
      </c>
      <c r="AC40" s="64"/>
      <c r="AD40" s="64"/>
      <c r="AE40" s="64"/>
      <c r="AF40" s="56"/>
      <c r="AG40" s="76" t="str">
        <f t="shared" si="10"/>
        <v>misace</v>
      </c>
      <c r="AH40" s="64" t="str">
        <f t="shared" si="11"/>
        <v>pri Radovljici</v>
      </c>
      <c r="AI40" s="65"/>
      <c r="AJ40" s="42">
        <f t="shared" si="7"/>
        <v>0</v>
      </c>
      <c r="AK40" s="64"/>
      <c r="AL40" s="64"/>
      <c r="AM40" s="64"/>
      <c r="AN40" s="64"/>
      <c r="AO40" s="42">
        <f t="shared" si="8"/>
        <v>0</v>
      </c>
      <c r="AP40" s="64"/>
      <c r="AQ40" s="64"/>
      <c r="AR40" s="64"/>
      <c r="AS40" s="56"/>
      <c r="AT40" s="76" t="str">
        <f t="shared" si="12"/>
        <v>misace</v>
      </c>
      <c r="AU40" s="64" t="str">
        <f t="shared" si="13"/>
        <v>pri Radovljici</v>
      </c>
      <c r="AV40" s="65">
        <v>660</v>
      </c>
      <c r="AW40" s="42">
        <f t="shared" si="15"/>
        <v>57.093425605536332</v>
      </c>
      <c r="AX40" s="64"/>
      <c r="AY40" s="64"/>
      <c r="AZ40" s="64"/>
      <c r="BA40" s="64"/>
      <c r="BB40" s="64"/>
      <c r="BC40" s="64"/>
      <c r="BD40" s="64"/>
      <c r="BE40" s="64"/>
      <c r="BF40" s="56"/>
      <c r="BG40" s="64"/>
      <c r="BH40" s="64"/>
      <c r="BI40" s="64"/>
      <c r="BJ40" s="65"/>
      <c r="BK40" s="66"/>
      <c r="BL40" s="64"/>
      <c r="BM40" s="15">
        <f>SE_2023!F40</f>
        <v>0</v>
      </c>
      <c r="BN40" s="15">
        <f>SE_2023!G40</f>
        <v>0</v>
      </c>
      <c r="BO40" s="15">
        <f>SE_2023!H40</f>
        <v>0</v>
      </c>
      <c r="BP40" s="15">
        <f>SE_2023!I40</f>
        <v>11.56</v>
      </c>
      <c r="BQ40" s="15" t="str">
        <f>SE_2023!J40</f>
        <v>8.16 kW, 135
3.40 kW, 225</v>
      </c>
      <c r="BR40" s="15" t="str">
        <f>SE_2023!K40</f>
        <v>45
35</v>
      </c>
      <c r="BS40" s="15">
        <f>SE_2023!L40</f>
        <v>0</v>
      </c>
      <c r="BT40" s="15">
        <f>SE_2023!M40</f>
        <v>10.56</v>
      </c>
      <c r="BU40" s="16" t="str">
        <f>SE_2023!N40</f>
        <v>Priklop marec 2022</v>
      </c>
      <c r="BW40" s="67" t="s">
        <v>453</v>
      </c>
    </row>
    <row r="41" spans="1:75" s="63" customFormat="1" ht="18.5" x14ac:dyDescent="0.35">
      <c r="A41" s="28">
        <f>SE_2023!A41</f>
        <v>38</v>
      </c>
      <c r="B41" s="33" t="str">
        <f>SE_2023!$B41</f>
        <v>simbala007</v>
      </c>
      <c r="C41" s="16" t="str">
        <f>SE_2023!$C41</f>
        <v>okolica Zagorja ob Savi</v>
      </c>
      <c r="D41" s="15"/>
      <c r="E41" s="42">
        <f t="shared" si="2"/>
        <v>0</v>
      </c>
      <c r="F41" s="65"/>
      <c r="G41" s="42">
        <f t="shared" si="3"/>
        <v>0</v>
      </c>
      <c r="H41" s="64"/>
      <c r="I41" s="64"/>
      <c r="J41" s="64"/>
      <c r="K41" s="28"/>
      <c r="L41" s="33" t="str">
        <f>SE_2023!$B41</f>
        <v>simbala007</v>
      </c>
      <c r="M41" s="16" t="str">
        <f>SE_2023!$C41</f>
        <v>okolica Zagorja ob Savi</v>
      </c>
      <c r="N41" s="65"/>
      <c r="O41" s="42">
        <f t="shared" si="4"/>
        <v>0</v>
      </c>
      <c r="P41" s="64"/>
      <c r="Q41" s="64"/>
      <c r="R41" s="64"/>
      <c r="S41" s="64"/>
      <c r="T41" s="33" t="str">
        <f>SE_2023!$B41</f>
        <v>simbala007</v>
      </c>
      <c r="U41" s="16" t="str">
        <f>SE_2023!$C41</f>
        <v>okolica Zagorja ob Savi</v>
      </c>
      <c r="V41" s="65"/>
      <c r="W41" s="42">
        <f t="shared" si="5"/>
        <v>0</v>
      </c>
      <c r="X41" s="64"/>
      <c r="Y41" s="64"/>
      <c r="Z41" s="64"/>
      <c r="AA41" s="64"/>
      <c r="AB41" s="42">
        <f>AA41/$BP41</f>
        <v>0</v>
      </c>
      <c r="AC41" s="64"/>
      <c r="AD41" s="64"/>
      <c r="AE41" s="64"/>
      <c r="AF41" s="56"/>
      <c r="AG41" s="76" t="str">
        <f t="shared" si="10"/>
        <v>simbala007</v>
      </c>
      <c r="AH41" s="64" t="str">
        <f t="shared" si="11"/>
        <v>okolica Zagorja ob Savi</v>
      </c>
      <c r="AI41" s="65"/>
      <c r="AJ41" s="42">
        <f t="shared" si="7"/>
        <v>0</v>
      </c>
      <c r="AK41" s="64"/>
      <c r="AL41" s="64"/>
      <c r="AM41" s="64"/>
      <c r="AN41" s="64"/>
      <c r="AO41" s="42">
        <f t="shared" si="8"/>
        <v>0</v>
      </c>
      <c r="AP41" s="64"/>
      <c r="AQ41" s="64"/>
      <c r="AR41" s="64"/>
      <c r="AS41" s="56"/>
      <c r="AT41" s="76" t="str">
        <f t="shared" si="12"/>
        <v>simbala007</v>
      </c>
      <c r="AU41" s="64" t="str">
        <f t="shared" si="13"/>
        <v>okolica Zagorja ob Savi</v>
      </c>
      <c r="AV41" s="65"/>
      <c r="AW41" s="42"/>
      <c r="AX41" s="64"/>
      <c r="AY41" s="64"/>
      <c r="AZ41" s="64"/>
      <c r="BA41" s="64"/>
      <c r="BB41" s="64"/>
      <c r="BC41" s="64"/>
      <c r="BD41" s="64"/>
      <c r="BE41" s="64"/>
      <c r="BF41" s="56"/>
      <c r="BG41" s="64"/>
      <c r="BH41" s="64"/>
      <c r="BI41" s="64"/>
      <c r="BJ41" s="65"/>
      <c r="BK41" s="66"/>
      <c r="BL41" s="64"/>
      <c r="BM41" s="15">
        <f>SE_2023!F41</f>
        <v>1006.0851926977688</v>
      </c>
      <c r="BN41" s="15">
        <f>SE_2023!G41</f>
        <v>0</v>
      </c>
      <c r="BO41" s="15">
        <f>SE_2023!H41</f>
        <v>0</v>
      </c>
      <c r="BP41" s="15">
        <f>SE_2023!I41</f>
        <v>12.324999999999999</v>
      </c>
      <c r="BQ41" s="15" t="str">
        <f>SE_2023!J41</f>
        <v>11.475 kW, 125.9
0.850 kW, 305.9</v>
      </c>
      <c r="BR41" s="15" t="str">
        <f>SE_2023!K41</f>
        <v>16.6
16.8</v>
      </c>
      <c r="BS41" s="15">
        <f>SE_2023!L41</f>
        <v>11.28</v>
      </c>
      <c r="BT41" s="15">
        <f>SE_2023!M41</f>
        <v>10.6</v>
      </c>
      <c r="BU41" s="16" t="str">
        <f>SE_2023!N41</f>
        <v>Priklop 28.2.2024
TČ le za sanitarno vodo</v>
      </c>
      <c r="BW41" s="67"/>
    </row>
    <row r="42" spans="1:75" s="63" customFormat="1" ht="18.5" x14ac:dyDescent="0.35">
      <c r="A42" s="28">
        <f>SE_2023!A42</f>
        <v>39</v>
      </c>
      <c r="B42" s="33" t="str">
        <f>SE_2023!$B42</f>
        <v>shock</v>
      </c>
      <c r="C42" s="16" t="str">
        <f>SE_2023!$C42</f>
        <v>Koper</v>
      </c>
      <c r="D42" s="15">
        <v>37</v>
      </c>
      <c r="E42" s="42">
        <f t="shared" si="2"/>
        <v>3.0327868852459017</v>
      </c>
      <c r="F42" s="65"/>
      <c r="G42" s="42">
        <f t="shared" ref="G42" si="16">F42/$BP42</f>
        <v>0</v>
      </c>
      <c r="H42" s="64"/>
      <c r="I42" s="64"/>
      <c r="J42" s="64"/>
      <c r="K42" s="28"/>
      <c r="L42" s="33" t="str">
        <f>SE_2023!$B42</f>
        <v>shock</v>
      </c>
      <c r="M42" s="16" t="str">
        <f>SE_2023!$C42</f>
        <v>Koper</v>
      </c>
      <c r="N42" s="65"/>
      <c r="O42" s="42">
        <f t="shared" ref="O42" si="17">N42/$BP42</f>
        <v>0</v>
      </c>
      <c r="P42" s="64"/>
      <c r="Q42" s="64"/>
      <c r="R42" s="64"/>
      <c r="S42" s="64"/>
      <c r="T42" s="33" t="str">
        <f>SE_2023!$B42</f>
        <v>shock</v>
      </c>
      <c r="U42" s="16" t="str">
        <f>SE_2023!$C42</f>
        <v>Koper</v>
      </c>
      <c r="V42" s="65"/>
      <c r="W42" s="42">
        <f t="shared" ref="W42" si="18">V42/$BP42</f>
        <v>0</v>
      </c>
      <c r="X42" s="64"/>
      <c r="Y42" s="64"/>
      <c r="Z42" s="64"/>
      <c r="AA42" s="64"/>
      <c r="AB42" s="42">
        <f>AA42/$BP42</f>
        <v>0</v>
      </c>
      <c r="AC42" s="64"/>
      <c r="AD42" s="64"/>
      <c r="AE42" s="64"/>
      <c r="AF42" s="56"/>
      <c r="AG42" s="76" t="str">
        <f t="shared" ref="AG42" si="19">L42</f>
        <v>shock</v>
      </c>
      <c r="AH42" s="64" t="str">
        <f t="shared" ref="AH42" si="20">M42</f>
        <v>Koper</v>
      </c>
      <c r="AI42" s="65"/>
      <c r="AJ42" s="42">
        <f t="shared" ref="AJ42" si="21">AI42/BP42</f>
        <v>0</v>
      </c>
      <c r="AK42" s="64"/>
      <c r="AL42" s="64"/>
      <c r="AM42" s="64"/>
      <c r="AN42" s="64"/>
      <c r="AO42" s="42">
        <f t="shared" ref="AO42" si="22">AN42/BP42</f>
        <v>0</v>
      </c>
      <c r="AP42" s="64"/>
      <c r="AQ42" s="64"/>
      <c r="AR42" s="64"/>
      <c r="AS42" s="56"/>
      <c r="AT42" s="76" t="str">
        <f t="shared" ref="AT42" si="23">L42</f>
        <v>shock</v>
      </c>
      <c r="AU42" s="64" t="str">
        <f t="shared" ref="AU42" si="24">M42</f>
        <v>Koper</v>
      </c>
      <c r="AV42" s="65"/>
      <c r="AW42" s="42"/>
      <c r="AX42" s="64"/>
      <c r="AY42" s="64"/>
      <c r="AZ42" s="64"/>
      <c r="BA42" s="64"/>
      <c r="BB42" s="64"/>
      <c r="BC42" s="64"/>
      <c r="BD42" s="64"/>
      <c r="BE42" s="64"/>
      <c r="BF42" s="56"/>
      <c r="BG42" s="64"/>
      <c r="BH42" s="64"/>
      <c r="BI42" s="64"/>
      <c r="BJ42" s="65"/>
      <c r="BK42" s="66"/>
      <c r="BL42" s="64"/>
      <c r="BM42" s="15">
        <f>SE_2023!F42</f>
        <v>882.70491803278696</v>
      </c>
      <c r="BN42" s="15">
        <f>SE_2023!G42</f>
        <v>0</v>
      </c>
      <c r="BO42" s="15">
        <f>SE_2023!H42</f>
        <v>0</v>
      </c>
      <c r="BP42" s="15">
        <f>SE_2023!I42</f>
        <v>12.2</v>
      </c>
      <c r="BQ42" s="15">
        <f>SE_2023!J42</f>
        <v>170</v>
      </c>
      <c r="BR42" s="15">
        <f>SE_2023!K42</f>
        <v>25</v>
      </c>
      <c r="BS42" s="15">
        <f>SE_2023!L42</f>
        <v>0</v>
      </c>
      <c r="BT42" s="15">
        <f>SE_2023!M42</f>
        <v>0</v>
      </c>
      <c r="BU42" s="16" t="str">
        <f>SE_2023!N42</f>
        <v>Priklop zadnji teden maja 2024. Pridelek od konca maja do 31.12.2024: 10769 kWh
Na strehi imamo tri dimnike, ki bodo v zimskem času metali senco na sončne panele.</v>
      </c>
      <c r="BW42" s="67"/>
    </row>
    <row r="43" spans="1:75" s="63" customFormat="1" ht="18.5" x14ac:dyDescent="0.35">
      <c r="A43" s="28">
        <f>SE_2023!A43</f>
        <v>40</v>
      </c>
      <c r="B43" s="33" t="str">
        <f>SE_2023!$B43</f>
        <v>DejanB</v>
      </c>
      <c r="C43" s="16" t="str">
        <f>SE_2023!$C43</f>
        <v>Ljubljana Barje</v>
      </c>
      <c r="D43" s="15"/>
      <c r="E43" s="42">
        <f t="shared" si="2"/>
        <v>0</v>
      </c>
      <c r="F43" s="65">
        <v>209.6</v>
      </c>
      <c r="G43" s="42">
        <f t="shared" ref="G43" si="25">F43/$BP43</f>
        <v>75.94202898550725</v>
      </c>
      <c r="H43" s="65">
        <v>660.1</v>
      </c>
      <c r="I43" s="64"/>
      <c r="J43" s="64"/>
      <c r="K43" s="28"/>
      <c r="L43" s="33" t="str">
        <f>SE_2023!$B43</f>
        <v>DejanB</v>
      </c>
      <c r="M43" s="16" t="str">
        <f>SE_2023!$C43</f>
        <v>Ljubljana Barje</v>
      </c>
      <c r="N43" s="65">
        <v>249.6</v>
      </c>
      <c r="O43" s="42">
        <f t="shared" ref="O43" si="26">N43/$BP43</f>
        <v>90.434782608695656</v>
      </c>
      <c r="P43" s="65">
        <v>911.6</v>
      </c>
      <c r="Q43" s="64"/>
      <c r="R43" s="64"/>
      <c r="S43" s="64"/>
      <c r="T43" s="33" t="str">
        <f>SE_2023!$B43</f>
        <v>DejanB</v>
      </c>
      <c r="U43" s="16" t="str">
        <f>SE_2023!$C43</f>
        <v>Ljubljana Barje</v>
      </c>
      <c r="V43" s="65">
        <v>144.6</v>
      </c>
      <c r="W43" s="42">
        <f t="shared" ref="W43" si="27">V43/$BP43</f>
        <v>52.391304347826086</v>
      </c>
      <c r="X43" s="65">
        <v>1043</v>
      </c>
      <c r="Y43" s="64"/>
      <c r="Z43" s="64"/>
      <c r="AA43" s="64"/>
      <c r="AB43" s="42">
        <f>AA43/$BP43</f>
        <v>0</v>
      </c>
      <c r="AC43" s="64"/>
      <c r="AD43" s="64"/>
      <c r="AE43" s="64"/>
      <c r="AF43" s="56"/>
      <c r="AG43" s="76" t="str">
        <f t="shared" ref="AG43" si="28">L43</f>
        <v>DejanB</v>
      </c>
      <c r="AH43" s="64" t="str">
        <f t="shared" ref="AH43" si="29">M43</f>
        <v>Ljubljana Barje</v>
      </c>
      <c r="AI43" s="65"/>
      <c r="AJ43" s="42">
        <f t="shared" ref="AJ43" si="30">AI43/BP43</f>
        <v>0</v>
      </c>
      <c r="AK43" s="64"/>
      <c r="AL43" s="64"/>
      <c r="AM43" s="64"/>
      <c r="AN43" s="64"/>
      <c r="AO43" s="42">
        <f t="shared" ref="AO43" si="31">AN43/BP43</f>
        <v>0</v>
      </c>
      <c r="AP43" s="64"/>
      <c r="AQ43" s="64"/>
      <c r="AR43" s="64"/>
      <c r="AS43" s="56"/>
      <c r="AT43" s="76" t="str">
        <f t="shared" ref="AT43" si="32">L43</f>
        <v>DejanB</v>
      </c>
      <c r="AU43" s="64" t="str">
        <f t="shared" ref="AU43" si="33">M43</f>
        <v>Ljubljana Barje</v>
      </c>
      <c r="AV43" s="65"/>
      <c r="AW43" s="42"/>
      <c r="AX43" s="64"/>
      <c r="AY43" s="64"/>
      <c r="AZ43" s="64"/>
      <c r="BA43" s="64"/>
      <c r="BB43" s="64"/>
      <c r="BC43" s="64"/>
      <c r="BD43" s="64"/>
      <c r="BE43" s="64"/>
      <c r="BF43" s="56"/>
      <c r="BG43" s="64"/>
      <c r="BH43" s="64"/>
      <c r="BI43" s="64"/>
      <c r="BJ43" s="65"/>
      <c r="BK43" s="66"/>
      <c r="BL43" s="64"/>
      <c r="BM43" s="15">
        <f>SE_2023!F43</f>
        <v>0</v>
      </c>
      <c r="BN43" s="15">
        <f>SE_2023!G43</f>
        <v>385.50724637681162</v>
      </c>
      <c r="BO43" s="15">
        <f>SE_2023!H43</f>
        <v>0</v>
      </c>
      <c r="BP43" s="15">
        <f>SE_2023!I43</f>
        <v>2.76</v>
      </c>
      <c r="BQ43" s="15">
        <f>SE_2023!J43</f>
        <v>180</v>
      </c>
      <c r="BR43" s="15">
        <f>SE_2023!K43</f>
        <v>8</v>
      </c>
      <c r="BS43" s="15">
        <f>SE_2023!L43</f>
        <v>0</v>
      </c>
      <c r="BT43" s="15">
        <f>SE_2023!M43</f>
        <v>0.15</v>
      </c>
      <c r="BU43" s="16" t="str">
        <f>SE_2023!N43</f>
        <v>Priklop 25.6.2023, ZeroExport
Izmenično senčenje 4 panelov (sosedov satelitski krožnik)</v>
      </c>
      <c r="BW43" s="67"/>
    </row>
    <row r="44" spans="1:75" s="63" customFormat="1" ht="18.5" x14ac:dyDescent="0.35">
      <c r="A44" s="28">
        <f>SE_2023!A44</f>
        <v>41</v>
      </c>
      <c r="B44" s="33" t="str">
        <f>SE_2023!$B44</f>
        <v>Irmscher</v>
      </c>
      <c r="C44" s="16" t="str">
        <f>SE_2023!$C44</f>
        <v>Ljubljana - okolica</v>
      </c>
      <c r="D44" s="15">
        <v>55.84</v>
      </c>
      <c r="E44" s="42">
        <f t="shared" si="2"/>
        <v>3.6259740259740263</v>
      </c>
      <c r="F44" s="65"/>
      <c r="G44" s="42"/>
      <c r="H44" s="65"/>
      <c r="I44" s="64"/>
      <c r="J44" s="64"/>
      <c r="K44" s="28"/>
      <c r="L44" s="33" t="str">
        <f>SE_2023!$B44</f>
        <v>Irmscher</v>
      </c>
      <c r="M44" s="16" t="str">
        <f>SE_2023!$C44</f>
        <v>Ljubljana - okolica</v>
      </c>
      <c r="N44" s="65"/>
      <c r="O44" s="42"/>
      <c r="P44" s="65"/>
      <c r="Q44" s="64"/>
      <c r="R44" s="64"/>
      <c r="S44" s="64"/>
      <c r="T44" s="33" t="str">
        <f>SE_2023!$B44</f>
        <v>Irmscher</v>
      </c>
      <c r="U44" s="16" t="str">
        <f>SE_2023!$C44</f>
        <v>Ljubljana - okolica</v>
      </c>
      <c r="V44" s="65"/>
      <c r="W44" s="42"/>
      <c r="X44" s="65"/>
      <c r="Y44" s="64"/>
      <c r="Z44" s="64"/>
      <c r="AA44" s="64"/>
      <c r="AB44" s="42"/>
      <c r="AC44" s="64"/>
      <c r="AD44" s="64"/>
      <c r="AE44" s="64"/>
      <c r="AF44" s="56"/>
      <c r="AG44" s="76" t="str">
        <f t="shared" ref="AG44" si="34">L44</f>
        <v>Irmscher</v>
      </c>
      <c r="AH44" s="64" t="str">
        <f t="shared" ref="AH44" si="35">M44</f>
        <v>Ljubljana - okolica</v>
      </c>
      <c r="AI44" s="65"/>
      <c r="AJ44" s="42"/>
      <c r="AK44" s="64"/>
      <c r="AL44" s="64"/>
      <c r="AM44" s="64"/>
      <c r="AN44" s="64"/>
      <c r="AO44" s="42"/>
      <c r="AP44" s="64"/>
      <c r="AQ44" s="64"/>
      <c r="AR44" s="64"/>
      <c r="AS44" s="56"/>
      <c r="AT44" s="76" t="str">
        <f t="shared" ref="AT44" si="36">L44</f>
        <v>Irmscher</v>
      </c>
      <c r="AU44" s="64" t="str">
        <f t="shared" ref="AU44" si="37">M44</f>
        <v>Ljubljana - okolica</v>
      </c>
      <c r="AV44" s="65"/>
      <c r="AW44" s="42"/>
      <c r="AX44" s="64"/>
      <c r="AY44" s="64"/>
      <c r="AZ44" s="64"/>
      <c r="BA44" s="64"/>
      <c r="BB44" s="64"/>
      <c r="BC44" s="64"/>
      <c r="BD44" s="64"/>
      <c r="BE44" s="64"/>
      <c r="BF44" s="56"/>
      <c r="BG44" s="64"/>
      <c r="BH44" s="64"/>
      <c r="BI44" s="64"/>
      <c r="BJ44" s="65"/>
      <c r="BK44" s="66"/>
      <c r="BL44" s="64"/>
      <c r="BM44" s="15">
        <f>SE_2023!F44</f>
        <v>548.05194805194799</v>
      </c>
      <c r="BN44" s="15">
        <f>SE_2023!G44</f>
        <v>0</v>
      </c>
      <c r="BO44" s="15">
        <f>SE_2023!H44</f>
        <v>0</v>
      </c>
      <c r="BP44" s="15">
        <f>SE_2023!I44</f>
        <v>15.4</v>
      </c>
      <c r="BQ44" s="15" t="str">
        <f>SE_2023!J44</f>
        <v>12.76 kW, 202
2.64 kW, 202</v>
      </c>
      <c r="BR44" s="15" t="str">
        <f>SE_2023!K44</f>
        <v>35
9</v>
      </c>
      <c r="BS44" s="15">
        <f>SE_2023!L44</f>
        <v>13.7</v>
      </c>
      <c r="BT44" s="15"/>
      <c r="BU44" s="16" t="str">
        <f>SE_2023!N44</f>
        <v>Priklop 1.7.2024. Paneli 35x440W Jinko.
Od 1.7.-31.12.2024 je bilo 8.44 MWh (avgusta 7 dni blackout)</v>
      </c>
      <c r="BW44" s="67"/>
    </row>
    <row r="45" spans="1:75" s="63" customFormat="1" ht="18.5" x14ac:dyDescent="0.35">
      <c r="A45" s="28">
        <f>SE_2023!A45</f>
        <v>42</v>
      </c>
      <c r="B45" s="33" t="str">
        <f>SE_2023!$B45</f>
        <v>bohinc</v>
      </c>
      <c r="C45" s="16" t="str">
        <f>SE_2023!$C45</f>
        <v>Bohinj</v>
      </c>
      <c r="D45" s="15">
        <v>27.5</v>
      </c>
      <c r="E45" s="42">
        <f t="shared" ref="E45" si="38">D45/$BP45</f>
        <v>2.0833333333333335</v>
      </c>
      <c r="F45" s="65"/>
      <c r="G45" s="42"/>
      <c r="H45" s="65"/>
      <c r="I45" s="64"/>
      <c r="J45" s="64"/>
      <c r="K45" s="28"/>
      <c r="L45" s="33" t="str">
        <f>SE_2023!$B45</f>
        <v>bohinc</v>
      </c>
      <c r="M45" s="16" t="str">
        <f>SE_2023!$C45</f>
        <v>Bohinj</v>
      </c>
      <c r="N45" s="65"/>
      <c r="O45" s="42"/>
      <c r="P45" s="65"/>
      <c r="Q45" s="64"/>
      <c r="R45" s="64"/>
      <c r="S45" s="64"/>
      <c r="T45" s="33" t="str">
        <f>SE_2023!$B45</f>
        <v>bohinc</v>
      </c>
      <c r="U45" s="16" t="str">
        <f>SE_2023!$C45</f>
        <v>Bohinj</v>
      </c>
      <c r="V45" s="65"/>
      <c r="W45" s="42"/>
      <c r="X45" s="65"/>
      <c r="Y45" s="64"/>
      <c r="Z45" s="64"/>
      <c r="AA45" s="64"/>
      <c r="AB45" s="42"/>
      <c r="AC45" s="64"/>
      <c r="AD45" s="64"/>
      <c r="AE45" s="64"/>
      <c r="AF45" s="56"/>
      <c r="AG45" s="76" t="str">
        <f t="shared" ref="AG45" si="39">L45</f>
        <v>bohinc</v>
      </c>
      <c r="AH45" s="64" t="str">
        <f t="shared" ref="AH45" si="40">M45</f>
        <v>Bohinj</v>
      </c>
      <c r="AI45" s="65"/>
      <c r="AJ45" s="42"/>
      <c r="AK45" s="64"/>
      <c r="AL45" s="64"/>
      <c r="AM45" s="64"/>
      <c r="AN45" s="64"/>
      <c r="AO45" s="42"/>
      <c r="AP45" s="64"/>
      <c r="AQ45" s="64"/>
      <c r="AR45" s="64"/>
      <c r="AS45" s="56"/>
      <c r="AT45" s="76" t="str">
        <f t="shared" ref="AT45" si="41">L45</f>
        <v>bohinc</v>
      </c>
      <c r="AU45" s="64" t="str">
        <f t="shared" ref="AU45" si="42">M45</f>
        <v>Bohinj</v>
      </c>
      <c r="AV45" s="65"/>
      <c r="AW45" s="42"/>
      <c r="AX45" s="64"/>
      <c r="AY45" s="64"/>
      <c r="AZ45" s="64"/>
      <c r="BA45" s="64"/>
      <c r="BB45" s="64"/>
      <c r="BC45" s="64"/>
      <c r="BD45" s="64"/>
      <c r="BE45" s="64"/>
      <c r="BF45" s="56"/>
      <c r="BG45" s="64"/>
      <c r="BH45" s="64"/>
      <c r="BI45" s="64"/>
      <c r="BJ45" s="65"/>
      <c r="BK45" s="66"/>
      <c r="BL45" s="64"/>
      <c r="BM45" s="15">
        <f>SE_2023!F45</f>
        <v>625</v>
      </c>
      <c r="BN45" s="15">
        <f>SE_2023!G45</f>
        <v>0</v>
      </c>
      <c r="BO45" s="15">
        <f>SE_2023!H45</f>
        <v>0</v>
      </c>
      <c r="BP45" s="15">
        <f>SE_2023!I45</f>
        <v>13.2</v>
      </c>
      <c r="BQ45" s="15" t="str">
        <f>SE_2023!J45</f>
        <v>5.28 kW, 210
4.40 kW, 100
1.76 kW, 200
0.88 kW, 190
0.44 kW, 280
0.44 kW, 190</v>
      </c>
      <c r="BR45" s="15" t="str">
        <f>SE_2023!K45</f>
        <v>52
48
12
16
25
16</v>
      </c>
      <c r="BS45" s="15">
        <f>SE_2023!L45</f>
        <v>13.6</v>
      </c>
      <c r="BT45" s="15"/>
      <c r="BU45" s="16" t="str">
        <f>SE_2023!N45</f>
        <v>Začetek delovanja (uradni) 3.6.2024. Pred tem SE proizvedla 742 kWh (86+586+70).
SE 10.56 kW + baterija. Možnost oddajne moči 13.6 kW.
30.4.2026:  popravek oz. k 1,76kW azimuta 100, naklona 48 pripišeš dodatnih 2.64kW . SE iz 10.56 pa je 13.2kW, 30 panelov.</v>
      </c>
      <c r="BW45" s="67"/>
    </row>
    <row r="46" spans="1:75" s="63" customFormat="1" ht="18.5" x14ac:dyDescent="0.35">
      <c r="A46" s="28">
        <f>SE_2023!A46</f>
        <v>43</v>
      </c>
      <c r="B46" s="33" t="str">
        <f>SE_2023!$B46</f>
        <v>marko71</v>
      </c>
      <c r="C46" s="16" t="str">
        <f>SE_2023!$C46</f>
        <v>Cerknica</v>
      </c>
      <c r="D46" s="15">
        <v>36.549999999999997</v>
      </c>
      <c r="E46" s="42">
        <f t="shared" ref="E46" si="43">D46/$BP46</f>
        <v>3.19493006993007</v>
      </c>
      <c r="F46" s="65"/>
      <c r="G46" s="42"/>
      <c r="H46" s="65"/>
      <c r="I46" s="64"/>
      <c r="J46" s="64"/>
      <c r="K46" s="28"/>
      <c r="L46" s="33" t="str">
        <f>SE_2023!$B46</f>
        <v>marko71</v>
      </c>
      <c r="M46" s="16" t="str">
        <f>SE_2023!$C46</f>
        <v>Cerknica</v>
      </c>
      <c r="N46" s="65"/>
      <c r="O46" s="42"/>
      <c r="P46" s="65"/>
      <c r="Q46" s="64"/>
      <c r="R46" s="64"/>
      <c r="S46" s="64"/>
      <c r="T46" s="33" t="str">
        <f>SE_2023!$B46</f>
        <v>marko71</v>
      </c>
      <c r="U46" s="16" t="str">
        <f>SE_2023!$C46</f>
        <v>Cerknica</v>
      </c>
      <c r="V46" s="65"/>
      <c r="W46" s="42"/>
      <c r="X46" s="65"/>
      <c r="Y46" s="64"/>
      <c r="Z46" s="64"/>
      <c r="AA46" s="64"/>
      <c r="AB46" s="42"/>
      <c r="AC46" s="64"/>
      <c r="AD46" s="64"/>
      <c r="AE46" s="64"/>
      <c r="AF46" s="56"/>
      <c r="AG46" s="76" t="str">
        <f t="shared" ref="AG46" si="44">L46</f>
        <v>marko71</v>
      </c>
      <c r="AH46" s="64" t="str">
        <f t="shared" ref="AH46" si="45">M46</f>
        <v>Cerknica</v>
      </c>
      <c r="AI46" s="65"/>
      <c r="AJ46" s="42"/>
      <c r="AK46" s="64"/>
      <c r="AL46" s="64"/>
      <c r="AM46" s="64"/>
      <c r="AN46" s="64"/>
      <c r="AO46" s="42"/>
      <c r="AP46" s="64"/>
      <c r="AQ46" s="64"/>
      <c r="AR46" s="64"/>
      <c r="AS46" s="56"/>
      <c r="AT46" s="76" t="str">
        <f t="shared" ref="AT46" si="46">L46</f>
        <v>marko71</v>
      </c>
      <c r="AU46" s="64" t="str">
        <f t="shared" ref="AU46" si="47">M46</f>
        <v>Cerknica</v>
      </c>
      <c r="AV46" s="65"/>
      <c r="AW46" s="42"/>
      <c r="AX46" s="64"/>
      <c r="AY46" s="64"/>
      <c r="AZ46" s="64"/>
      <c r="BA46" s="64"/>
      <c r="BB46" s="64"/>
      <c r="BC46" s="64"/>
      <c r="BD46" s="64"/>
      <c r="BE46" s="64"/>
      <c r="BF46" s="56"/>
      <c r="BG46" s="64"/>
      <c r="BH46" s="64"/>
      <c r="BI46" s="64"/>
      <c r="BJ46" s="65"/>
      <c r="BK46" s="66"/>
      <c r="BL46" s="64"/>
      <c r="BM46" s="15">
        <f>SE_2023!F46</f>
        <v>0</v>
      </c>
      <c r="BN46" s="15">
        <f>SE_2023!G46</f>
        <v>0</v>
      </c>
      <c r="BO46" s="15">
        <f>SE_2023!H46</f>
        <v>0</v>
      </c>
      <c r="BP46" s="15">
        <f>SE_2023!I46</f>
        <v>11.44</v>
      </c>
      <c r="BQ46" s="15">
        <f>SE_2023!J46</f>
        <v>210</v>
      </c>
      <c r="BR46" s="15">
        <f>SE_2023!K46</f>
        <v>32.5</v>
      </c>
      <c r="BS46" s="15">
        <f>SE_2023!L46</f>
        <v>0</v>
      </c>
      <c r="BT46" s="15"/>
      <c r="BU46" s="16" t="str">
        <f>SE_2023!N46</f>
        <v>Priklop 19.9.2024. Dimnik senči panele.</v>
      </c>
      <c r="BW46" s="67"/>
    </row>
    <row r="47" spans="1:75" s="63" customFormat="1" ht="18.5" x14ac:dyDescent="0.35">
      <c r="A47" s="28">
        <f>SE_2023!A47</f>
        <v>44</v>
      </c>
      <c r="B47" s="33" t="str">
        <f>SE_2023!$B47</f>
        <v>lokos</v>
      </c>
      <c r="C47" s="16" t="str">
        <f>SE_2023!$C47</f>
        <v>Trebnje</v>
      </c>
      <c r="D47" s="15">
        <v>41.51</v>
      </c>
      <c r="E47" s="42">
        <f t="shared" ref="E47" si="48">D47/$BP47</f>
        <v>3.0343567251461989</v>
      </c>
      <c r="F47" s="65"/>
      <c r="G47" s="42"/>
      <c r="H47" s="65"/>
      <c r="I47" s="64"/>
      <c r="J47" s="64"/>
      <c r="K47" s="28"/>
      <c r="L47" s="33" t="str">
        <f>SE_2023!$B47</f>
        <v>lokos</v>
      </c>
      <c r="M47" s="16" t="str">
        <f>SE_2023!$C47</f>
        <v>Trebnje</v>
      </c>
      <c r="N47" s="65"/>
      <c r="O47" s="42"/>
      <c r="P47" s="65"/>
      <c r="Q47" s="64"/>
      <c r="R47" s="64"/>
      <c r="S47" s="64"/>
      <c r="T47" s="33" t="str">
        <f>SE_2023!$B47</f>
        <v>lokos</v>
      </c>
      <c r="U47" s="16" t="str">
        <f>SE_2023!$C47</f>
        <v>Trebnje</v>
      </c>
      <c r="V47" s="65"/>
      <c r="W47" s="42"/>
      <c r="X47" s="65"/>
      <c r="Y47" s="64"/>
      <c r="Z47" s="64"/>
      <c r="AA47" s="64"/>
      <c r="AB47" s="42"/>
      <c r="AC47" s="64"/>
      <c r="AD47" s="64"/>
      <c r="AE47" s="64"/>
      <c r="AF47" s="56"/>
      <c r="AG47" s="76" t="str">
        <f t="shared" ref="AG47" si="49">L47</f>
        <v>lokos</v>
      </c>
      <c r="AH47" s="64" t="str">
        <f t="shared" ref="AH47" si="50">M47</f>
        <v>Trebnje</v>
      </c>
      <c r="AI47" s="65"/>
      <c r="AJ47" s="42"/>
      <c r="AK47" s="64"/>
      <c r="AL47" s="64"/>
      <c r="AM47" s="64"/>
      <c r="AN47" s="64"/>
      <c r="AO47" s="42"/>
      <c r="AP47" s="64"/>
      <c r="AQ47" s="64"/>
      <c r="AR47" s="64"/>
      <c r="AS47" s="56"/>
      <c r="AT47" s="76" t="str">
        <f t="shared" ref="AT47" si="51">L47</f>
        <v>lokos</v>
      </c>
      <c r="AU47" s="64" t="str">
        <f t="shared" ref="AU47" si="52">M47</f>
        <v>Trebnje</v>
      </c>
      <c r="AV47" s="65"/>
      <c r="AW47" s="42"/>
      <c r="AX47" s="64"/>
      <c r="AY47" s="64"/>
      <c r="AZ47" s="64"/>
      <c r="BA47" s="64"/>
      <c r="BB47" s="64"/>
      <c r="BC47" s="64"/>
      <c r="BD47" s="64"/>
      <c r="BE47" s="64"/>
      <c r="BF47" s="56"/>
      <c r="BG47" s="64"/>
      <c r="BH47" s="64"/>
      <c r="BI47" s="64"/>
      <c r="BJ47" s="65"/>
      <c r="BK47" s="66"/>
      <c r="BL47" s="64"/>
      <c r="BM47" s="15">
        <f>SE_2023!F47</f>
        <v>1240.4970760233919</v>
      </c>
      <c r="BN47" s="15">
        <f>SE_2023!G47</f>
        <v>1217.8362573099416</v>
      </c>
      <c r="BO47" s="15">
        <f>SE_2023!H47</f>
        <v>0</v>
      </c>
      <c r="BP47" s="15">
        <f>SE_2023!I47</f>
        <v>13.68</v>
      </c>
      <c r="BQ47" s="15">
        <f>SE_2023!J47</f>
        <v>168</v>
      </c>
      <c r="BR47" s="15">
        <f>SE_2023!K47</f>
        <v>17</v>
      </c>
      <c r="BS47" s="15">
        <f>SE_2023!L47</f>
        <v>13.6</v>
      </c>
      <c r="BT47" s="15"/>
      <c r="BU47" s="16"/>
      <c r="BW47" s="67"/>
    </row>
    <row r="48" spans="1:75" s="63" customFormat="1" ht="18.5" x14ac:dyDescent="0.35">
      <c r="A48" s="28">
        <f>SE_2023!A48</f>
        <v>45</v>
      </c>
      <c r="B48" s="33" t="str">
        <f>SE_2023!$B48</f>
        <v>gt001</v>
      </c>
      <c r="C48" s="16" t="str">
        <f>SE_2023!$C48</f>
        <v>Celje okolica</v>
      </c>
      <c r="D48" s="15">
        <v>13.57</v>
      </c>
      <c r="E48" s="42">
        <f t="shared" ref="E48" si="53">D48/$BP48</f>
        <v>1.451336898395722</v>
      </c>
      <c r="F48" s="65"/>
      <c r="G48" s="42"/>
      <c r="H48" s="65"/>
      <c r="I48" s="64"/>
      <c r="J48" s="64"/>
      <c r="K48" s="28"/>
      <c r="L48" s="33" t="str">
        <f>SE_2023!$B48</f>
        <v>gt001</v>
      </c>
      <c r="M48" s="16" t="str">
        <f>SE_2023!$C48</f>
        <v>Celje okolica</v>
      </c>
      <c r="N48" s="65"/>
      <c r="O48" s="42"/>
      <c r="P48" s="65"/>
      <c r="Q48" s="64"/>
      <c r="R48" s="64"/>
      <c r="S48" s="64"/>
      <c r="T48" s="33" t="str">
        <f>SE_2023!$B48</f>
        <v>gt001</v>
      </c>
      <c r="U48" s="16" t="str">
        <f>SE_2023!$C48</f>
        <v>Celje okolica</v>
      </c>
      <c r="V48" s="65"/>
      <c r="W48" s="42"/>
      <c r="X48" s="65"/>
      <c r="Y48" s="64"/>
      <c r="Z48" s="64"/>
      <c r="AA48" s="64"/>
      <c r="AB48" s="42"/>
      <c r="AC48" s="64"/>
      <c r="AD48" s="64"/>
      <c r="AE48" s="64"/>
      <c r="AF48" s="56"/>
      <c r="AG48" s="76" t="str">
        <f t="shared" ref="AG48" si="54">L48</f>
        <v>gt001</v>
      </c>
      <c r="AH48" s="64" t="str">
        <f t="shared" ref="AH48" si="55">M48</f>
        <v>Celje okolica</v>
      </c>
      <c r="AI48" s="65"/>
      <c r="AJ48" s="42"/>
      <c r="AK48" s="64"/>
      <c r="AL48" s="64"/>
      <c r="AM48" s="64"/>
      <c r="AN48" s="64"/>
      <c r="AO48" s="42"/>
      <c r="AP48" s="64"/>
      <c r="AQ48" s="64"/>
      <c r="AR48" s="64"/>
      <c r="AS48" s="56"/>
      <c r="AT48" s="76" t="str">
        <f t="shared" ref="AT48" si="56">L48</f>
        <v>gt001</v>
      </c>
      <c r="AU48" s="64" t="str">
        <f t="shared" ref="AU48" si="57">M48</f>
        <v>Celje okolica</v>
      </c>
      <c r="AV48" s="65"/>
      <c r="AW48" s="42"/>
      <c r="AX48" s="64"/>
      <c r="AY48" s="64"/>
      <c r="AZ48" s="64"/>
      <c r="BA48" s="64"/>
      <c r="BB48" s="64"/>
      <c r="BC48" s="64"/>
      <c r="BD48" s="64"/>
      <c r="BE48" s="64"/>
      <c r="BF48" s="56"/>
      <c r="BG48" s="64"/>
      <c r="BH48" s="64"/>
      <c r="BI48" s="64"/>
      <c r="BJ48" s="65"/>
      <c r="BK48" s="66"/>
      <c r="BL48" s="64"/>
      <c r="BM48" s="15">
        <f>SE_2023!F48</f>
        <v>1090.909090909091</v>
      </c>
      <c r="BN48" s="15">
        <f>SE_2023!G48</f>
        <v>0</v>
      </c>
      <c r="BO48" s="15">
        <f>SE_2023!H48</f>
        <v>0</v>
      </c>
      <c r="BP48" s="15">
        <f>SE_2023!I48</f>
        <v>9.35</v>
      </c>
      <c r="BQ48" s="15">
        <f>SE_2023!J48</f>
        <v>99</v>
      </c>
      <c r="BR48" s="15">
        <f>SE_2023!K48</f>
        <v>7</v>
      </c>
      <c r="BS48" s="15">
        <f>SE_2023!L48</f>
        <v>0</v>
      </c>
      <c r="BT48" s="15">
        <f>SE_2023!M48</f>
        <v>6.18</v>
      </c>
      <c r="BU48" s="16" t="str">
        <f>SE_2023!N48</f>
        <v>2024 je prvo celo leto obratovanja SE.</v>
      </c>
      <c r="BW48" s="67"/>
    </row>
    <row r="49" spans="12:75" s="4" customFormat="1" ht="18.5" x14ac:dyDescent="0.35">
      <c r="L49" s="55"/>
      <c r="M49" s="56"/>
      <c r="N49" s="56"/>
      <c r="O49" s="56"/>
      <c r="P49" s="56"/>
      <c r="Q49" s="56"/>
      <c r="R49" s="56"/>
      <c r="S49" s="56"/>
      <c r="T49" s="56"/>
      <c r="U49" s="56"/>
      <c r="V49" s="56"/>
      <c r="W49" s="56"/>
      <c r="X49" s="56"/>
      <c r="Y49" s="56"/>
      <c r="Z49" s="56"/>
      <c r="AA49" s="56"/>
      <c r="AB49" s="56"/>
      <c r="AC49" s="56"/>
      <c r="AD49" s="56"/>
      <c r="AE49" s="56"/>
      <c r="AF49" s="56"/>
      <c r="AG49" s="64"/>
      <c r="AH49" s="64"/>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7"/>
      <c r="BK49" s="58"/>
      <c r="BL49" s="56"/>
      <c r="BM49" s="57"/>
      <c r="BN49" s="59"/>
      <c r="BO49" s="57"/>
      <c r="BP49" s="57"/>
      <c r="BQ49" s="57"/>
      <c r="BR49" s="57"/>
      <c r="BS49" s="57"/>
      <c r="BT49" s="57"/>
      <c r="BU49" s="56"/>
      <c r="BW49" s="60" t="s">
        <v>454</v>
      </c>
    </row>
    <row r="50" spans="12:75" ht="18.5" x14ac:dyDescent="0.35">
      <c r="L50" s="10"/>
      <c r="M50" s="16"/>
      <c r="N50" s="16"/>
      <c r="O50" s="16"/>
      <c r="P50" s="16"/>
      <c r="Q50" s="16"/>
      <c r="R50" s="16"/>
      <c r="S50" s="16"/>
      <c r="T50" s="16"/>
      <c r="U50" s="16"/>
      <c r="V50" s="16"/>
      <c r="W50" s="16"/>
      <c r="X50" s="16"/>
      <c r="Y50" s="16"/>
      <c r="Z50" s="16"/>
      <c r="AA50" s="16"/>
      <c r="AB50" s="16"/>
      <c r="AC50" s="16"/>
      <c r="AD50" s="16"/>
      <c r="AE50" s="16"/>
      <c r="AF50" s="56"/>
      <c r="AG50" s="64"/>
      <c r="AH50" s="64"/>
      <c r="AI50" s="16"/>
      <c r="AJ50" s="16"/>
      <c r="AK50" s="16"/>
      <c r="AL50" s="16"/>
      <c r="AM50" s="16"/>
      <c r="AN50" s="16"/>
      <c r="AO50" s="16"/>
      <c r="AP50" s="16"/>
      <c r="AQ50" s="16"/>
      <c r="AR50" s="16"/>
      <c r="AS50" s="56"/>
      <c r="AT50" s="64"/>
      <c r="AU50" s="64"/>
      <c r="AV50" s="16"/>
      <c r="AW50" s="16"/>
      <c r="AX50" s="16"/>
      <c r="AY50" s="16"/>
      <c r="AZ50" s="16"/>
      <c r="BA50" s="16"/>
      <c r="BB50" s="16"/>
      <c r="BC50" s="16"/>
      <c r="BD50" s="16"/>
      <c r="BE50" s="16"/>
      <c r="BF50" s="56"/>
      <c r="BG50" s="16"/>
      <c r="BH50" s="16"/>
      <c r="BI50" s="16"/>
      <c r="BJ50" s="16"/>
      <c r="BK50" s="30"/>
      <c r="BL50" s="16"/>
      <c r="BM50" s="15"/>
      <c r="BN50" s="15"/>
      <c r="BO50" s="15"/>
      <c r="BP50" s="15"/>
      <c r="BQ50" s="15"/>
      <c r="BR50" s="15"/>
      <c r="BS50" s="15"/>
      <c r="BT50" s="15"/>
      <c r="BU50" s="16"/>
      <c r="BW50" s="1" t="s">
        <v>455</v>
      </c>
    </row>
    <row r="51" spans="12:75" ht="18.5" x14ac:dyDescent="0.35">
      <c r="L51" s="10"/>
      <c r="M51" s="16"/>
      <c r="N51" s="16"/>
      <c r="O51" s="16"/>
      <c r="P51" s="16"/>
      <c r="Q51" s="16"/>
      <c r="R51" s="16"/>
      <c r="S51" s="16"/>
      <c r="T51" s="16"/>
      <c r="U51" s="16"/>
      <c r="V51" s="16"/>
      <c r="W51" s="16"/>
      <c r="X51" s="16"/>
      <c r="Y51" s="16"/>
      <c r="Z51" s="16"/>
      <c r="AA51" s="16"/>
      <c r="AB51" s="16"/>
      <c r="AC51" s="16"/>
      <c r="AD51" s="16"/>
      <c r="AE51" s="16"/>
      <c r="AF51" s="56"/>
      <c r="AG51" s="64"/>
      <c r="AH51" s="64"/>
      <c r="AI51" s="16"/>
      <c r="AJ51" s="16"/>
      <c r="AK51" s="16"/>
      <c r="AL51" s="16"/>
      <c r="AM51" s="16"/>
      <c r="AN51" s="16"/>
      <c r="AO51" s="16"/>
      <c r="AP51" s="16"/>
      <c r="AQ51" s="16"/>
      <c r="AR51" s="16"/>
      <c r="AS51" s="56"/>
      <c r="AT51" s="64"/>
      <c r="AU51" s="64"/>
      <c r="AV51" s="16"/>
      <c r="AW51" s="16"/>
      <c r="AX51" s="16"/>
      <c r="AY51" s="16"/>
      <c r="AZ51" s="16"/>
      <c r="BA51" s="16"/>
      <c r="BB51" s="16"/>
      <c r="BC51" s="16"/>
      <c r="BD51" s="16"/>
      <c r="BE51" s="16"/>
      <c r="BF51" s="56"/>
      <c r="BG51" s="16"/>
      <c r="BH51" s="16"/>
      <c r="BI51" s="16"/>
      <c r="BJ51" s="16"/>
      <c r="BK51" s="16"/>
      <c r="BL51" s="16"/>
      <c r="BM51" s="15"/>
      <c r="BN51" s="15"/>
      <c r="BO51" s="15"/>
      <c r="BP51" s="15"/>
      <c r="BQ51" s="15"/>
      <c r="BR51" s="15"/>
      <c r="BS51" s="15"/>
      <c r="BT51" s="15"/>
      <c r="BU51" s="16"/>
      <c r="BW51" s="1" t="s">
        <v>446</v>
      </c>
    </row>
    <row r="52" spans="12:75" ht="18.5" x14ac:dyDescent="0.35">
      <c r="L52" s="10"/>
      <c r="M52" s="16"/>
      <c r="N52" s="16"/>
      <c r="O52" s="16"/>
      <c r="P52" s="16"/>
      <c r="Q52" s="16"/>
      <c r="R52" s="16"/>
      <c r="S52" s="16"/>
      <c r="T52" s="16"/>
      <c r="U52" s="16"/>
      <c r="V52" s="16"/>
      <c r="W52" s="16"/>
      <c r="X52" s="16"/>
      <c r="Y52" s="16"/>
      <c r="Z52" s="16"/>
      <c r="AA52" s="16"/>
      <c r="AB52" s="16"/>
      <c r="AC52" s="16"/>
      <c r="AD52" s="16"/>
      <c r="AE52" s="16"/>
      <c r="AF52" s="56"/>
      <c r="AG52" s="64"/>
      <c r="AH52" s="64"/>
      <c r="AI52" s="16"/>
      <c r="AJ52" s="16"/>
      <c r="AK52" s="16"/>
      <c r="AL52" s="16"/>
      <c r="AM52" s="16"/>
      <c r="AN52" s="16"/>
      <c r="AO52" s="16"/>
      <c r="AP52" s="16"/>
      <c r="AQ52" s="16"/>
      <c r="AR52" s="16"/>
      <c r="AS52" s="56"/>
      <c r="AT52" s="64"/>
      <c r="AU52" s="64"/>
      <c r="AV52" s="16"/>
      <c r="AW52" s="16"/>
      <c r="AX52" s="16"/>
      <c r="AY52" s="16"/>
      <c r="AZ52" s="16"/>
      <c r="BA52" s="16"/>
      <c r="BB52" s="16"/>
      <c r="BC52" s="16"/>
      <c r="BD52" s="16"/>
      <c r="BE52" s="16"/>
      <c r="BF52" s="56"/>
      <c r="BG52" s="16"/>
      <c r="BH52" s="16"/>
      <c r="BI52" s="16"/>
      <c r="BJ52" s="16"/>
      <c r="BK52" s="16"/>
      <c r="BL52" s="16"/>
      <c r="BM52" s="15"/>
      <c r="BN52" s="15"/>
      <c r="BO52" s="15"/>
      <c r="BP52" s="15"/>
      <c r="BQ52" s="15"/>
      <c r="BR52" s="15"/>
      <c r="BS52" s="15"/>
      <c r="BT52" s="15"/>
      <c r="BU52" s="16"/>
      <c r="BW52" s="1" t="s">
        <v>447</v>
      </c>
    </row>
    <row r="53" spans="12:75" ht="18.5" x14ac:dyDescent="0.35">
      <c r="L53" s="10"/>
      <c r="M53" s="16"/>
      <c r="N53" s="16"/>
      <c r="O53" s="16"/>
      <c r="P53" s="16"/>
      <c r="Q53" s="16"/>
      <c r="R53" s="16"/>
      <c r="S53" s="16"/>
      <c r="T53" s="16"/>
      <c r="U53" s="16"/>
      <c r="V53" s="16"/>
      <c r="W53" s="16"/>
      <c r="X53" s="16"/>
      <c r="Y53" s="16"/>
      <c r="Z53" s="16"/>
      <c r="AA53" s="16"/>
      <c r="AB53" s="16"/>
      <c r="AC53" s="16"/>
      <c r="AD53" s="16"/>
      <c r="AE53" s="16"/>
      <c r="AF53" s="56"/>
      <c r="AG53" s="64"/>
      <c r="AH53" s="64"/>
      <c r="AI53" s="16"/>
      <c r="AJ53" s="16"/>
      <c r="AK53" s="16"/>
      <c r="AL53" s="16"/>
      <c r="AM53" s="16"/>
      <c r="AN53" s="16"/>
      <c r="AO53" s="16"/>
      <c r="AP53" s="16"/>
      <c r="AQ53" s="16"/>
      <c r="AR53" s="16"/>
      <c r="AS53" s="56"/>
      <c r="AT53" s="64"/>
      <c r="AU53" s="64"/>
      <c r="AV53" s="16"/>
      <c r="AW53" s="16"/>
      <c r="AX53" s="16"/>
      <c r="AY53" s="16"/>
      <c r="AZ53" s="16"/>
      <c r="BA53" s="16"/>
      <c r="BB53" s="16"/>
      <c r="BC53" s="16"/>
      <c r="BD53" s="16"/>
      <c r="BE53" s="16"/>
      <c r="BF53" s="56"/>
      <c r="BG53" s="16"/>
      <c r="BH53" s="16"/>
      <c r="BI53" s="16"/>
      <c r="BJ53" s="16"/>
      <c r="BK53" s="16"/>
      <c r="BL53" s="16"/>
      <c r="BM53" s="15"/>
      <c r="BN53" s="15"/>
      <c r="BO53" s="15"/>
      <c r="BP53" s="15"/>
      <c r="BQ53" s="15"/>
      <c r="BR53" s="15"/>
      <c r="BS53" s="15"/>
      <c r="BT53" s="15"/>
      <c r="BU53" s="16"/>
      <c r="BW53" s="1" t="s">
        <v>456</v>
      </c>
    </row>
    <row r="54" spans="12:75" ht="18.5" x14ac:dyDescent="0.35">
      <c r="L54" s="10"/>
      <c r="M54" s="16"/>
      <c r="N54" s="16"/>
      <c r="O54" s="16"/>
      <c r="P54" s="16"/>
      <c r="Q54" s="16"/>
      <c r="R54" s="16"/>
      <c r="S54" s="16"/>
      <c r="T54" s="16"/>
      <c r="U54" s="16"/>
      <c r="V54" s="16"/>
      <c r="W54" s="16"/>
      <c r="X54" s="16"/>
      <c r="Y54" s="16"/>
      <c r="Z54" s="16"/>
      <c r="AA54" s="16"/>
      <c r="AB54" s="16"/>
      <c r="AC54" s="16"/>
      <c r="AD54" s="16"/>
      <c r="AE54" s="16"/>
      <c r="AF54" s="56"/>
      <c r="AG54" s="64"/>
      <c r="AH54" s="64"/>
      <c r="AI54" s="16"/>
      <c r="AJ54" s="16"/>
      <c r="AK54" s="16"/>
      <c r="AL54" s="16"/>
      <c r="AM54" s="16"/>
      <c r="AN54" s="16"/>
      <c r="AO54" s="16"/>
      <c r="AP54" s="16"/>
      <c r="AQ54" s="16"/>
      <c r="AR54" s="16"/>
      <c r="AS54" s="56"/>
      <c r="AT54" s="64"/>
      <c r="AU54" s="64"/>
      <c r="AV54" s="16"/>
      <c r="AW54" s="16"/>
      <c r="AX54" s="16"/>
      <c r="AY54" s="16"/>
      <c r="AZ54" s="16"/>
      <c r="BA54" s="16"/>
      <c r="BB54" s="16"/>
      <c r="BC54" s="16"/>
      <c r="BD54" s="16"/>
      <c r="BE54" s="16"/>
      <c r="BF54" s="56"/>
      <c r="BG54" s="16"/>
      <c r="BH54" s="16"/>
      <c r="BI54" s="16"/>
      <c r="BJ54" s="16"/>
      <c r="BK54" s="16"/>
      <c r="BL54" s="16"/>
      <c r="BM54" s="15"/>
      <c r="BN54" s="15"/>
      <c r="BO54" s="15"/>
      <c r="BP54" s="15"/>
      <c r="BQ54" s="15"/>
      <c r="BR54" s="15"/>
      <c r="BS54" s="15"/>
      <c r="BT54" s="15"/>
      <c r="BU54" s="16"/>
      <c r="BW54" s="1" t="s">
        <v>457</v>
      </c>
    </row>
    <row r="55" spans="12:75" ht="18.5" x14ac:dyDescent="0.35">
      <c r="L55" s="10"/>
      <c r="M55" s="16"/>
      <c r="N55" s="16"/>
      <c r="O55" s="16"/>
      <c r="P55" s="16"/>
      <c r="Q55" s="16"/>
      <c r="R55" s="16"/>
      <c r="S55" s="16"/>
      <c r="T55" s="16"/>
      <c r="U55" s="16"/>
      <c r="V55" s="16"/>
      <c r="W55" s="16"/>
      <c r="X55" s="16"/>
      <c r="Y55" s="16"/>
      <c r="Z55" s="16"/>
      <c r="AA55" s="16"/>
      <c r="AB55" s="16"/>
      <c r="AC55" s="16"/>
      <c r="AD55" s="16"/>
      <c r="AE55" s="16"/>
      <c r="AF55" s="56"/>
      <c r="AG55" s="64"/>
      <c r="AH55" s="64"/>
      <c r="AI55" s="16"/>
      <c r="AJ55" s="16"/>
      <c r="AK55" s="16"/>
      <c r="AL55" s="16"/>
      <c r="AM55" s="16"/>
      <c r="AN55" s="16"/>
      <c r="AO55" s="16"/>
      <c r="AP55" s="16"/>
      <c r="AQ55" s="16"/>
      <c r="AR55" s="16"/>
      <c r="AS55" s="56"/>
      <c r="AT55" s="64"/>
      <c r="AU55" s="64"/>
      <c r="AV55" s="16"/>
      <c r="AW55" s="16"/>
      <c r="AX55" s="16"/>
      <c r="AY55" s="16"/>
      <c r="AZ55" s="16"/>
      <c r="BA55" s="16"/>
      <c r="BB55" s="16"/>
      <c r="BC55" s="16"/>
      <c r="BD55" s="16"/>
      <c r="BE55" s="16"/>
      <c r="BF55" s="56"/>
      <c r="BG55" s="16"/>
      <c r="BH55" s="16"/>
      <c r="BI55" s="16"/>
      <c r="BJ55" s="16"/>
      <c r="BK55" s="16"/>
      <c r="BL55" s="16"/>
      <c r="BM55" s="15"/>
      <c r="BN55" s="15"/>
      <c r="BO55" s="15"/>
      <c r="BP55" s="15"/>
      <c r="BQ55" s="15"/>
      <c r="BR55" s="15"/>
      <c r="BS55" s="15"/>
      <c r="BT55" s="15"/>
      <c r="BU55" s="16"/>
      <c r="BW55" s="1" t="s">
        <v>458</v>
      </c>
    </row>
    <row r="56" spans="12:75" ht="18.5" x14ac:dyDescent="0.35">
      <c r="L56" s="10"/>
      <c r="M56" s="16"/>
      <c r="N56" s="16"/>
      <c r="O56" s="16"/>
      <c r="P56" s="16"/>
      <c r="Q56" s="16"/>
      <c r="R56" s="16"/>
      <c r="S56" s="16"/>
      <c r="T56" s="16"/>
      <c r="U56" s="16"/>
      <c r="V56" s="16"/>
      <c r="W56" s="16"/>
      <c r="X56" s="16"/>
      <c r="Y56" s="16"/>
      <c r="Z56" s="16"/>
      <c r="AA56" s="16"/>
      <c r="AB56" s="16"/>
      <c r="AC56" s="16"/>
      <c r="AD56" s="16"/>
      <c r="AE56" s="16"/>
      <c r="AF56" s="56"/>
      <c r="AG56" s="64"/>
      <c r="AH56" s="64"/>
      <c r="AI56" s="16"/>
      <c r="AJ56" s="16"/>
      <c r="AK56" s="16"/>
      <c r="AL56" s="16"/>
      <c r="AM56" s="16"/>
      <c r="AN56" s="16"/>
      <c r="AO56" s="16"/>
      <c r="AP56" s="16"/>
      <c r="AQ56" s="16"/>
      <c r="AR56" s="16"/>
      <c r="AS56" s="56"/>
      <c r="AT56" s="64"/>
      <c r="AU56" s="64"/>
      <c r="AV56" s="16"/>
      <c r="AW56" s="16"/>
      <c r="AX56" s="16"/>
      <c r="AY56" s="16"/>
      <c r="AZ56" s="16"/>
      <c r="BA56" s="16"/>
      <c r="BB56" s="16"/>
      <c r="BC56" s="16"/>
      <c r="BD56" s="16"/>
      <c r="BE56" s="16"/>
      <c r="BF56" s="56"/>
      <c r="BG56" s="16"/>
      <c r="BH56" s="16"/>
      <c r="BI56" s="16"/>
      <c r="BJ56" s="16"/>
      <c r="BK56" s="16"/>
      <c r="BL56" s="16"/>
      <c r="BM56" s="15"/>
      <c r="BN56" s="15"/>
      <c r="BO56" s="15"/>
      <c r="BP56" s="15"/>
      <c r="BQ56" s="15"/>
      <c r="BR56" s="15"/>
      <c r="BS56" s="15"/>
      <c r="BT56" s="15"/>
      <c r="BU56" s="16"/>
      <c r="BW56" s="1"/>
    </row>
    <row r="57" spans="12:75" ht="18.5" x14ac:dyDescent="0.35">
      <c r="L57" s="10"/>
      <c r="M57" s="16"/>
      <c r="N57" s="16"/>
      <c r="O57" s="16"/>
      <c r="P57" s="16"/>
      <c r="Q57" s="16"/>
      <c r="R57" s="16"/>
      <c r="S57" s="16"/>
      <c r="T57" s="16"/>
      <c r="U57" s="16"/>
      <c r="V57" s="16"/>
      <c r="W57" s="16"/>
      <c r="X57" s="16"/>
      <c r="Y57" s="16"/>
      <c r="Z57" s="16"/>
      <c r="AA57" s="16"/>
      <c r="AB57" s="16"/>
      <c r="AC57" s="16"/>
      <c r="AD57" s="16"/>
      <c r="AE57" s="16"/>
      <c r="AF57" s="56"/>
      <c r="AG57" s="64"/>
      <c r="AH57" s="64"/>
      <c r="AI57" s="16"/>
      <c r="AJ57" s="16"/>
      <c r="AK57" s="16"/>
      <c r="AL57" s="16"/>
      <c r="AM57" s="16"/>
      <c r="AN57" s="16"/>
      <c r="AO57" s="16"/>
      <c r="AP57" s="16"/>
      <c r="AQ57" s="16"/>
      <c r="AR57" s="16"/>
      <c r="AS57" s="56"/>
      <c r="AT57" s="64"/>
      <c r="AU57" s="64"/>
      <c r="AV57" s="16"/>
      <c r="AW57" s="16"/>
      <c r="AX57" s="16"/>
      <c r="AY57" s="16"/>
      <c r="AZ57" s="16"/>
      <c r="BA57" s="16"/>
      <c r="BB57" s="16"/>
      <c r="BC57" s="16"/>
      <c r="BD57" s="16"/>
      <c r="BE57" s="16"/>
      <c r="BF57" s="56"/>
      <c r="BG57" s="16"/>
      <c r="BH57" s="16"/>
      <c r="BI57" s="16"/>
      <c r="BJ57" s="16"/>
      <c r="BK57" s="16"/>
      <c r="BL57" s="16"/>
      <c r="BM57" s="15"/>
      <c r="BN57" s="15"/>
      <c r="BO57" s="15"/>
      <c r="BP57" s="15"/>
      <c r="BQ57" s="15"/>
      <c r="BR57" s="15"/>
      <c r="BS57" s="15"/>
      <c r="BT57" s="15"/>
      <c r="BU57" s="16"/>
      <c r="BW57" s="1" t="s">
        <v>459</v>
      </c>
    </row>
    <row r="58" spans="12:75" ht="15.5" x14ac:dyDescent="0.35">
      <c r="L58" s="13"/>
      <c r="M58" s="26"/>
      <c r="N58" s="26"/>
      <c r="O58" s="26"/>
      <c r="P58" s="26"/>
      <c r="Q58" s="26"/>
      <c r="R58" s="26"/>
      <c r="S58" s="26"/>
      <c r="T58" s="26"/>
      <c r="U58" s="26"/>
      <c r="V58" s="26"/>
      <c r="W58" s="26"/>
      <c r="X58" s="26"/>
      <c r="Y58" s="26"/>
      <c r="Z58" s="26"/>
      <c r="AA58" s="26"/>
      <c r="AB58" s="26"/>
      <c r="AC58" s="26"/>
      <c r="AD58" s="26"/>
      <c r="AE58" s="26"/>
      <c r="AF58" s="68"/>
      <c r="AG58" s="75"/>
      <c r="AH58" s="75"/>
      <c r="AI58" s="26"/>
      <c r="AJ58" s="26"/>
      <c r="AK58" s="26"/>
      <c r="AL58" s="26"/>
      <c r="AM58" s="26"/>
      <c r="AN58" s="26"/>
      <c r="AO58" s="26"/>
      <c r="AP58" s="26"/>
      <c r="AQ58" s="26"/>
      <c r="AR58" s="26"/>
      <c r="AS58" s="68"/>
      <c r="AT58" s="75"/>
      <c r="AU58" s="75"/>
      <c r="AV58" s="26"/>
      <c r="AW58" s="26"/>
      <c r="AX58" s="26"/>
      <c r="AY58" s="26"/>
      <c r="AZ58" s="26"/>
      <c r="BA58" s="26"/>
      <c r="BB58" s="26"/>
      <c r="BC58" s="26"/>
      <c r="BD58" s="26"/>
      <c r="BE58" s="26"/>
      <c r="BF58" s="68"/>
      <c r="BG58" s="26"/>
      <c r="BH58" s="26"/>
      <c r="BI58" s="26"/>
      <c r="BJ58" s="26"/>
      <c r="BK58" s="26"/>
      <c r="BL58" s="26"/>
      <c r="BM58" s="27"/>
      <c r="BN58" s="27"/>
      <c r="BO58" s="27"/>
      <c r="BP58" s="27"/>
      <c r="BQ58" s="27"/>
      <c r="BR58" s="27"/>
      <c r="BS58" s="27"/>
      <c r="BT58" s="27"/>
      <c r="BU58" s="34"/>
      <c r="BW58" s="1" t="s">
        <v>460</v>
      </c>
    </row>
    <row r="59" spans="12:75" ht="15.5" x14ac:dyDescent="0.35">
      <c r="L59" s="13"/>
      <c r="M59" s="26"/>
      <c r="N59" s="26"/>
      <c r="O59" s="26"/>
      <c r="P59" s="26"/>
      <c r="Q59" s="26"/>
      <c r="R59" s="26"/>
      <c r="S59" s="26"/>
      <c r="T59" s="26"/>
      <c r="U59" s="26"/>
      <c r="V59" s="26"/>
      <c r="W59" s="26"/>
      <c r="X59" s="26"/>
      <c r="Y59" s="26"/>
      <c r="Z59" s="26"/>
      <c r="AA59" s="26"/>
      <c r="AB59" s="26"/>
      <c r="AC59" s="26"/>
      <c r="AD59" s="26"/>
      <c r="AE59" s="26"/>
      <c r="AF59" s="68"/>
      <c r="AG59" s="75"/>
      <c r="AH59" s="75"/>
      <c r="AI59" s="26"/>
      <c r="AJ59" s="26"/>
      <c r="AK59" s="26"/>
      <c r="AL59" s="26"/>
      <c r="AM59" s="26"/>
      <c r="AN59" s="26"/>
      <c r="AO59" s="26"/>
      <c r="AP59" s="26"/>
      <c r="AQ59" s="26"/>
      <c r="AR59" s="26"/>
      <c r="AS59" s="68"/>
      <c r="AT59" s="75"/>
      <c r="AU59" s="75"/>
      <c r="AV59" s="26"/>
      <c r="AW59" s="26"/>
      <c r="AX59" s="26"/>
      <c r="AY59" s="26"/>
      <c r="AZ59" s="26"/>
      <c r="BA59" s="26"/>
      <c r="BB59" s="26"/>
      <c r="BC59" s="26"/>
      <c r="BD59" s="26"/>
      <c r="BE59" s="26"/>
      <c r="BF59" s="68"/>
      <c r="BG59" s="26"/>
      <c r="BH59" s="26"/>
      <c r="BI59" s="26"/>
      <c r="BJ59" s="26"/>
      <c r="BK59" s="26"/>
      <c r="BL59" s="26"/>
      <c r="BM59" s="27"/>
      <c r="BN59" s="27"/>
      <c r="BO59" s="27"/>
      <c r="BP59" s="27"/>
      <c r="BQ59" s="27"/>
      <c r="BR59" s="27"/>
      <c r="BS59" s="27"/>
      <c r="BT59" s="27"/>
      <c r="BU59" s="34"/>
      <c r="BW59" s="1" t="s">
        <v>461</v>
      </c>
    </row>
    <row r="60" spans="12:75" ht="15.5" x14ac:dyDescent="0.35">
      <c r="L60" s="13"/>
      <c r="M60" s="26"/>
      <c r="N60" s="26"/>
      <c r="O60" s="26"/>
      <c r="P60" s="26"/>
      <c r="Q60" s="26"/>
      <c r="R60" s="26"/>
      <c r="S60" s="26"/>
      <c r="T60" s="26"/>
      <c r="U60" s="26"/>
      <c r="V60" s="26"/>
      <c r="W60" s="26"/>
      <c r="X60" s="26"/>
      <c r="Y60" s="26"/>
      <c r="Z60" s="26"/>
      <c r="AA60" s="26"/>
      <c r="AB60" s="26"/>
      <c r="AC60" s="26"/>
      <c r="AD60" s="26"/>
      <c r="AE60" s="26"/>
      <c r="AF60" s="68"/>
      <c r="AG60" s="75"/>
      <c r="AH60" s="75"/>
      <c r="AI60" s="26"/>
      <c r="AJ60" s="26"/>
      <c r="AK60" s="26"/>
      <c r="AL60" s="26"/>
      <c r="AM60" s="26"/>
      <c r="AN60" s="26"/>
      <c r="AO60" s="26"/>
      <c r="AP60" s="26"/>
      <c r="AQ60" s="26"/>
      <c r="AR60" s="26"/>
      <c r="AS60" s="68"/>
      <c r="AT60" s="75"/>
      <c r="AU60" s="75"/>
      <c r="AV60" s="26"/>
      <c r="AW60" s="26"/>
      <c r="AX60" s="26"/>
      <c r="AY60" s="26"/>
      <c r="AZ60" s="26"/>
      <c r="BA60" s="26"/>
      <c r="BB60" s="26"/>
      <c r="BC60" s="26"/>
      <c r="BD60" s="26"/>
      <c r="BE60" s="26"/>
      <c r="BF60" s="68"/>
      <c r="BG60" s="26"/>
      <c r="BH60" s="26"/>
      <c r="BI60" s="26"/>
      <c r="BJ60" s="26"/>
      <c r="BK60" s="26"/>
      <c r="BL60" s="26"/>
      <c r="BM60" s="27"/>
      <c r="BN60" s="27"/>
      <c r="BO60" s="27"/>
      <c r="BP60" s="27"/>
      <c r="BQ60" s="27"/>
      <c r="BR60" s="27"/>
      <c r="BS60" s="27"/>
      <c r="BT60" s="27"/>
      <c r="BU60" s="34"/>
      <c r="BW60" s="1" t="s">
        <v>462</v>
      </c>
    </row>
    <row r="61" spans="12:75" ht="15.5" x14ac:dyDescent="0.35">
      <c r="L61" s="13"/>
      <c r="M61" s="26"/>
      <c r="N61" s="26"/>
      <c r="O61" s="26"/>
      <c r="P61" s="26"/>
      <c r="Q61" s="26"/>
      <c r="R61" s="26"/>
      <c r="S61" s="26"/>
      <c r="T61" s="26"/>
      <c r="U61" s="26"/>
      <c r="V61" s="26"/>
      <c r="W61" s="26"/>
      <c r="X61" s="26"/>
      <c r="Y61" s="26"/>
      <c r="Z61" s="26"/>
      <c r="AA61" s="26"/>
      <c r="AB61" s="26"/>
      <c r="AC61" s="26"/>
      <c r="AD61" s="26"/>
      <c r="AE61" s="26"/>
      <c r="AF61" s="68"/>
      <c r="AG61" s="75"/>
      <c r="AH61" s="75"/>
      <c r="AI61" s="26"/>
      <c r="AJ61" s="26"/>
      <c r="AK61" s="26"/>
      <c r="AL61" s="26"/>
      <c r="AM61" s="26"/>
      <c r="AN61" s="26"/>
      <c r="AO61" s="26"/>
      <c r="AP61" s="26"/>
      <c r="AQ61" s="26"/>
      <c r="AR61" s="26"/>
      <c r="AS61" s="68"/>
      <c r="AT61" s="75"/>
      <c r="AU61" s="75"/>
      <c r="AV61" s="26"/>
      <c r="AW61" s="26"/>
      <c r="AX61" s="26"/>
      <c r="AY61" s="26"/>
      <c r="AZ61" s="26"/>
      <c r="BA61" s="26"/>
      <c r="BB61" s="26"/>
      <c r="BC61" s="26"/>
      <c r="BD61" s="26"/>
      <c r="BE61" s="26"/>
      <c r="BF61" s="68"/>
      <c r="BG61" s="26"/>
      <c r="BH61" s="26"/>
      <c r="BI61" s="26"/>
      <c r="BJ61" s="26"/>
      <c r="BK61" s="26"/>
      <c r="BL61" s="26"/>
      <c r="BM61" s="27"/>
      <c r="BN61" s="27"/>
      <c r="BO61" s="27"/>
      <c r="BP61" s="27"/>
      <c r="BQ61" s="27"/>
      <c r="BR61" s="27"/>
      <c r="BS61" s="27"/>
      <c r="BT61" s="27"/>
      <c r="BU61" s="34"/>
      <c r="BW61" s="1"/>
    </row>
    <row r="62" spans="12:75" ht="15.5" x14ac:dyDescent="0.35">
      <c r="L62" s="13"/>
      <c r="M62" s="26"/>
      <c r="N62" s="26"/>
      <c r="O62" s="26"/>
      <c r="P62" s="26"/>
      <c r="Q62" s="26"/>
      <c r="R62" s="26"/>
      <c r="S62" s="26"/>
      <c r="T62" s="26"/>
      <c r="U62" s="26"/>
      <c r="V62" s="26"/>
      <c r="W62" s="26"/>
      <c r="X62" s="26"/>
      <c r="Y62" s="26"/>
      <c r="Z62" s="26"/>
      <c r="AA62" s="26"/>
      <c r="AB62" s="26"/>
      <c r="AC62" s="26"/>
      <c r="AD62" s="26"/>
      <c r="AE62" s="26"/>
      <c r="AF62" s="68"/>
      <c r="AG62" s="75"/>
      <c r="AH62" s="75"/>
      <c r="AI62" s="26"/>
      <c r="AJ62" s="26"/>
      <c r="AK62" s="26"/>
      <c r="AL62" s="26"/>
      <c r="AM62" s="26"/>
      <c r="AN62" s="26"/>
      <c r="AO62" s="26"/>
      <c r="AP62" s="26"/>
      <c r="AQ62" s="26"/>
      <c r="AR62" s="26"/>
      <c r="AS62" s="68"/>
      <c r="AT62" s="75"/>
      <c r="AU62" s="75"/>
      <c r="AV62" s="26"/>
      <c r="AW62" s="26"/>
      <c r="AX62" s="26"/>
      <c r="AY62" s="26"/>
      <c r="AZ62" s="26"/>
      <c r="BA62" s="26"/>
      <c r="BB62" s="26"/>
      <c r="BC62" s="26"/>
      <c r="BD62" s="26"/>
      <c r="BE62" s="26"/>
      <c r="BF62" s="68"/>
      <c r="BG62" s="26"/>
      <c r="BH62" s="26"/>
      <c r="BI62" s="26"/>
      <c r="BJ62" s="26"/>
      <c r="BK62" s="26"/>
      <c r="BL62" s="26"/>
      <c r="BM62" s="27"/>
      <c r="BN62" s="27"/>
      <c r="BO62" s="27"/>
      <c r="BP62" s="27"/>
      <c r="BQ62" s="27"/>
      <c r="BR62" s="27"/>
      <c r="BS62" s="27"/>
      <c r="BT62" s="27"/>
      <c r="BU62" s="34"/>
      <c r="BW62" s="1" t="s">
        <v>463</v>
      </c>
    </row>
    <row r="63" spans="12:75" ht="15.5" x14ac:dyDescent="0.35">
      <c r="L63" s="13"/>
      <c r="M63" s="26"/>
      <c r="N63" s="26"/>
      <c r="O63" s="26"/>
      <c r="P63" s="26"/>
      <c r="Q63" s="26"/>
      <c r="R63" s="26"/>
      <c r="S63" s="26"/>
      <c r="T63" s="26"/>
      <c r="U63" s="26"/>
      <c r="V63" s="26"/>
      <c r="W63" s="26"/>
      <c r="X63" s="26"/>
      <c r="Y63" s="26"/>
      <c r="Z63" s="26"/>
      <c r="AA63" s="26"/>
      <c r="AB63" s="26"/>
      <c r="AC63" s="26"/>
      <c r="AD63" s="26"/>
      <c r="AE63" s="26"/>
      <c r="AF63" s="68"/>
      <c r="AG63" s="75"/>
      <c r="AH63" s="75"/>
      <c r="AI63" s="26"/>
      <c r="AJ63" s="26"/>
      <c r="AK63" s="26"/>
      <c r="AL63" s="26"/>
      <c r="AM63" s="26"/>
      <c r="AN63" s="26"/>
      <c r="AO63" s="26"/>
      <c r="AP63" s="26"/>
      <c r="AQ63" s="26"/>
      <c r="AR63" s="26"/>
      <c r="AS63" s="68"/>
      <c r="AT63" s="75"/>
      <c r="AU63" s="75"/>
      <c r="AV63" s="26"/>
      <c r="AW63" s="26"/>
      <c r="AX63" s="26"/>
      <c r="AY63" s="26"/>
      <c r="AZ63" s="26"/>
      <c r="BA63" s="26"/>
      <c r="BB63" s="26"/>
      <c r="BC63" s="26"/>
      <c r="BD63" s="26"/>
      <c r="BE63" s="26"/>
      <c r="BF63" s="68"/>
      <c r="BG63" s="26"/>
      <c r="BH63" s="26"/>
      <c r="BI63" s="26"/>
      <c r="BJ63" s="26"/>
      <c r="BK63" s="26"/>
      <c r="BL63" s="26"/>
      <c r="BM63" s="27"/>
      <c r="BN63" s="27"/>
      <c r="BO63" s="27"/>
      <c r="BP63" s="27"/>
      <c r="BQ63" s="27"/>
      <c r="BR63" s="27"/>
      <c r="BS63" s="27"/>
      <c r="BT63" s="27"/>
      <c r="BU63" s="34"/>
      <c r="BW63" s="1" t="s">
        <v>464</v>
      </c>
    </row>
    <row r="64" spans="12:75" ht="15.5" x14ac:dyDescent="0.35">
      <c r="L64" s="13"/>
      <c r="M64" s="26"/>
      <c r="N64" s="26"/>
      <c r="O64" s="26"/>
      <c r="P64" s="26"/>
      <c r="Q64" s="26"/>
      <c r="R64" s="26"/>
      <c r="S64" s="26"/>
      <c r="T64" s="26"/>
      <c r="U64" s="26"/>
      <c r="V64" s="26"/>
      <c r="W64" s="26"/>
      <c r="X64" s="26"/>
      <c r="Y64" s="26"/>
      <c r="Z64" s="26"/>
      <c r="AA64" s="26"/>
      <c r="AB64" s="26"/>
      <c r="AC64" s="26"/>
      <c r="AD64" s="26"/>
      <c r="AE64" s="26"/>
      <c r="AF64" s="68"/>
      <c r="AG64" s="75"/>
      <c r="AH64" s="75"/>
      <c r="AI64" s="26"/>
      <c r="AJ64" s="26"/>
      <c r="AK64" s="26"/>
      <c r="AL64" s="26"/>
      <c r="AM64" s="26"/>
      <c r="AN64" s="26"/>
      <c r="AO64" s="26"/>
      <c r="AP64" s="26"/>
      <c r="AQ64" s="26"/>
      <c r="AR64" s="26"/>
      <c r="AS64" s="68"/>
      <c r="AT64" s="75"/>
      <c r="AU64" s="75"/>
      <c r="AV64" s="26"/>
      <c r="AW64" s="26"/>
      <c r="AX64" s="26"/>
      <c r="AY64" s="26"/>
      <c r="AZ64" s="26"/>
      <c r="BA64" s="26"/>
      <c r="BB64" s="26"/>
      <c r="BC64" s="26"/>
      <c r="BD64" s="26"/>
      <c r="BE64" s="26"/>
      <c r="BF64" s="68"/>
      <c r="BG64" s="26"/>
      <c r="BH64" s="26"/>
      <c r="BI64" s="26"/>
      <c r="BJ64" s="26"/>
      <c r="BK64" s="26"/>
      <c r="BL64" s="26"/>
      <c r="BM64" s="27"/>
      <c r="BN64" s="27"/>
      <c r="BO64" s="27"/>
      <c r="BP64" s="27"/>
      <c r="BQ64" s="27"/>
      <c r="BR64" s="27"/>
      <c r="BS64" s="27"/>
      <c r="BT64" s="27"/>
      <c r="BU64" s="34"/>
      <c r="BW64" s="1" t="s">
        <v>465</v>
      </c>
    </row>
    <row r="65" spans="12:75" ht="15.5" x14ac:dyDescent="0.35">
      <c r="L65" s="13"/>
      <c r="M65" s="26"/>
      <c r="N65" s="26"/>
      <c r="O65" s="26"/>
      <c r="P65" s="26"/>
      <c r="Q65" s="26"/>
      <c r="R65" s="26"/>
      <c r="S65" s="26"/>
      <c r="T65" s="26"/>
      <c r="U65" s="26"/>
      <c r="V65" s="26"/>
      <c r="W65" s="26"/>
      <c r="X65" s="26"/>
      <c r="Y65" s="26"/>
      <c r="Z65" s="26"/>
      <c r="AA65" s="26"/>
      <c r="AB65" s="26"/>
      <c r="AC65" s="26"/>
      <c r="AD65" s="26"/>
      <c r="AE65" s="26"/>
      <c r="AF65" s="68"/>
      <c r="AG65" s="75"/>
      <c r="AH65" s="75"/>
      <c r="AI65" s="26"/>
      <c r="AJ65" s="26"/>
      <c r="AK65" s="26"/>
      <c r="AL65" s="26"/>
      <c r="AM65" s="26"/>
      <c r="AN65" s="26"/>
      <c r="AO65" s="26"/>
      <c r="AP65" s="26"/>
      <c r="AQ65" s="26"/>
      <c r="AR65" s="26"/>
      <c r="AS65" s="68"/>
      <c r="AT65" s="75"/>
      <c r="AU65" s="75"/>
      <c r="AV65" s="26"/>
      <c r="AW65" s="26"/>
      <c r="AX65" s="26"/>
      <c r="AY65" s="26"/>
      <c r="AZ65" s="26"/>
      <c r="BA65" s="26"/>
      <c r="BB65" s="26"/>
      <c r="BC65" s="26"/>
      <c r="BD65" s="26"/>
      <c r="BE65" s="26"/>
      <c r="BF65" s="68"/>
      <c r="BG65" s="26"/>
      <c r="BH65" s="26"/>
      <c r="BI65" s="26"/>
      <c r="BJ65" s="26"/>
      <c r="BK65" s="26"/>
      <c r="BL65" s="26"/>
      <c r="BM65" s="27"/>
      <c r="BN65" s="27"/>
      <c r="BO65" s="27"/>
      <c r="BP65" s="27"/>
      <c r="BQ65" s="27"/>
      <c r="BR65" s="27"/>
      <c r="BS65" s="27"/>
      <c r="BT65" s="27"/>
      <c r="BU65" s="34"/>
      <c r="BW65" s="1" t="s">
        <v>466</v>
      </c>
    </row>
    <row r="66" spans="12:75" ht="15.5" x14ac:dyDescent="0.35">
      <c r="L66" s="13"/>
      <c r="M66" s="26"/>
      <c r="N66" s="26"/>
      <c r="O66" s="26"/>
      <c r="P66" s="26"/>
      <c r="Q66" s="26"/>
      <c r="R66" s="26"/>
      <c r="S66" s="26"/>
      <c r="T66" s="26"/>
      <c r="U66" s="26"/>
      <c r="V66" s="26"/>
      <c r="W66" s="26"/>
      <c r="X66" s="26"/>
      <c r="Y66" s="26"/>
      <c r="Z66" s="26"/>
      <c r="AA66" s="26"/>
      <c r="AB66" s="26"/>
      <c r="AC66" s="26"/>
      <c r="AD66" s="26"/>
      <c r="AE66" s="26"/>
      <c r="AF66" s="68"/>
      <c r="AG66" s="75"/>
      <c r="AH66" s="75"/>
      <c r="AI66" s="26"/>
      <c r="AJ66" s="26"/>
      <c r="AK66" s="26"/>
      <c r="AL66" s="26"/>
      <c r="AM66" s="26"/>
      <c r="AN66" s="26"/>
      <c r="AO66" s="26"/>
      <c r="AP66" s="26"/>
      <c r="AQ66" s="26"/>
      <c r="AR66" s="26"/>
      <c r="AS66" s="68"/>
      <c r="AT66" s="75"/>
      <c r="AU66" s="75"/>
      <c r="AV66" s="26"/>
      <c r="AW66" s="26"/>
      <c r="AX66" s="26"/>
      <c r="AY66" s="26"/>
      <c r="AZ66" s="26"/>
      <c r="BA66" s="26"/>
      <c r="BB66" s="26"/>
      <c r="BC66" s="26"/>
      <c r="BD66" s="26"/>
      <c r="BE66" s="26"/>
      <c r="BF66" s="68"/>
      <c r="BG66" s="26"/>
      <c r="BH66" s="26"/>
      <c r="BI66" s="26"/>
      <c r="BJ66" s="26"/>
      <c r="BK66" s="26"/>
      <c r="BL66" s="26"/>
      <c r="BM66" s="27"/>
      <c r="BN66" s="27"/>
      <c r="BO66" s="27"/>
      <c r="BP66" s="27"/>
      <c r="BQ66" s="27"/>
      <c r="BR66" s="27"/>
      <c r="BS66" s="27"/>
      <c r="BT66" s="27"/>
      <c r="BU66" s="34"/>
      <c r="BW66" s="1" t="s">
        <v>467</v>
      </c>
    </row>
    <row r="67" spans="12:75" ht="15.5" x14ac:dyDescent="0.35">
      <c r="L67" s="13"/>
      <c r="M67" s="26"/>
      <c r="N67" s="26"/>
      <c r="O67" s="26"/>
      <c r="P67" s="26"/>
      <c r="Q67" s="26"/>
      <c r="R67" s="26"/>
      <c r="S67" s="26"/>
      <c r="T67" s="26"/>
      <c r="U67" s="26"/>
      <c r="V67" s="26"/>
      <c r="W67" s="26"/>
      <c r="X67" s="26"/>
      <c r="Y67" s="26"/>
      <c r="Z67" s="26"/>
      <c r="AA67" s="26"/>
      <c r="AB67" s="26"/>
      <c r="AC67" s="26"/>
      <c r="AD67" s="26"/>
      <c r="AE67" s="26"/>
      <c r="AF67" s="68"/>
      <c r="AG67" s="75"/>
      <c r="AH67" s="75"/>
      <c r="AI67" s="26"/>
      <c r="AJ67" s="26"/>
      <c r="AK67" s="26"/>
      <c r="AL67" s="26"/>
      <c r="AM67" s="26"/>
      <c r="AN67" s="26"/>
      <c r="AO67" s="26"/>
      <c r="AP67" s="26"/>
      <c r="AQ67" s="26"/>
      <c r="AR67" s="26"/>
      <c r="AS67" s="68"/>
      <c r="AT67" s="75"/>
      <c r="AU67" s="75"/>
      <c r="AV67" s="26"/>
      <c r="AW67" s="26"/>
      <c r="AX67" s="26"/>
      <c r="AY67" s="26"/>
      <c r="AZ67" s="26"/>
      <c r="BA67" s="26"/>
      <c r="BB67" s="26"/>
      <c r="BC67" s="26"/>
      <c r="BD67" s="26"/>
      <c r="BE67" s="26"/>
      <c r="BF67" s="68"/>
      <c r="BG67" s="26"/>
      <c r="BH67" s="26"/>
      <c r="BI67" s="26"/>
      <c r="BJ67" s="26"/>
      <c r="BK67" s="26"/>
      <c r="BL67" s="26"/>
      <c r="BM67" s="27"/>
      <c r="BN67" s="27"/>
      <c r="BO67" s="27"/>
      <c r="BP67" s="27"/>
      <c r="BQ67" s="27"/>
      <c r="BR67" s="27"/>
      <c r="BS67" s="27"/>
      <c r="BT67" s="27"/>
      <c r="BU67" s="34"/>
      <c r="BW67" s="1" t="s">
        <v>468</v>
      </c>
    </row>
    <row r="68" spans="12:75" ht="15.5" x14ac:dyDescent="0.35">
      <c r="L68" s="13"/>
      <c r="M68" s="26"/>
      <c r="N68" s="26"/>
      <c r="O68" s="26"/>
      <c r="P68" s="26"/>
      <c r="Q68" s="26"/>
      <c r="R68" s="26"/>
      <c r="S68" s="26"/>
      <c r="T68" s="26"/>
      <c r="U68" s="26"/>
      <c r="V68" s="26"/>
      <c r="W68" s="26"/>
      <c r="X68" s="26"/>
      <c r="Y68" s="26"/>
      <c r="Z68" s="26"/>
      <c r="AA68" s="26"/>
      <c r="AB68" s="26"/>
      <c r="AC68" s="26"/>
      <c r="AD68" s="26"/>
      <c r="AE68" s="26"/>
      <c r="AF68" s="68"/>
      <c r="AG68" s="75"/>
      <c r="AH68" s="75"/>
      <c r="AI68" s="26"/>
      <c r="AJ68" s="26"/>
      <c r="AK68" s="26"/>
      <c r="AL68" s="26"/>
      <c r="AM68" s="26"/>
      <c r="AN68" s="26"/>
      <c r="AO68" s="26"/>
      <c r="AP68" s="26"/>
      <c r="AQ68" s="26"/>
      <c r="AR68" s="26"/>
      <c r="AS68" s="68"/>
      <c r="AT68" s="75"/>
      <c r="AU68" s="75"/>
      <c r="AV68" s="26"/>
      <c r="AW68" s="26"/>
      <c r="AX68" s="26"/>
      <c r="AY68" s="26"/>
      <c r="AZ68" s="26"/>
      <c r="BA68" s="26"/>
      <c r="BB68" s="26"/>
      <c r="BC68" s="26"/>
      <c r="BD68" s="26"/>
      <c r="BE68" s="26"/>
      <c r="BF68" s="68"/>
      <c r="BG68" s="26"/>
      <c r="BH68" s="26"/>
      <c r="BI68" s="26"/>
      <c r="BJ68" s="26"/>
      <c r="BK68" s="26"/>
      <c r="BL68" s="26"/>
      <c r="BM68" s="27"/>
      <c r="BN68" s="27"/>
      <c r="BO68" s="27"/>
      <c r="BP68" s="27"/>
      <c r="BQ68" s="27"/>
      <c r="BR68" s="27"/>
      <c r="BS68" s="27"/>
      <c r="BT68" s="27"/>
      <c r="BU68" s="34"/>
    </row>
    <row r="69" spans="12:75" ht="15.5" x14ac:dyDescent="0.35">
      <c r="L69" s="13"/>
      <c r="M69" s="26"/>
      <c r="N69" s="26"/>
      <c r="O69" s="26"/>
      <c r="P69" s="26"/>
      <c r="Q69" s="26"/>
      <c r="R69" s="26"/>
      <c r="S69" s="26"/>
      <c r="T69" s="26"/>
      <c r="U69" s="26"/>
      <c r="V69" s="26"/>
      <c r="W69" s="26"/>
      <c r="X69" s="26"/>
      <c r="Y69" s="26"/>
      <c r="Z69" s="26"/>
      <c r="AA69" s="26"/>
      <c r="AB69" s="26"/>
      <c r="AC69" s="26"/>
      <c r="AD69" s="26"/>
      <c r="AE69" s="26"/>
      <c r="AF69" s="68"/>
      <c r="AG69" s="75"/>
      <c r="AH69" s="75"/>
      <c r="AI69" s="26"/>
      <c r="AJ69" s="26"/>
      <c r="AK69" s="26"/>
      <c r="AL69" s="26"/>
      <c r="AM69" s="26"/>
      <c r="AN69" s="26"/>
      <c r="AO69" s="26"/>
      <c r="AP69" s="26"/>
      <c r="AQ69" s="26"/>
      <c r="AR69" s="26"/>
      <c r="AS69" s="68"/>
      <c r="AT69" s="75"/>
      <c r="AU69" s="75"/>
      <c r="AV69" s="26"/>
      <c r="AW69" s="26"/>
      <c r="AX69" s="26"/>
      <c r="AY69" s="26"/>
      <c r="AZ69" s="26"/>
      <c r="BA69" s="26"/>
      <c r="BB69" s="26"/>
      <c r="BC69" s="26"/>
      <c r="BD69" s="26"/>
      <c r="BE69" s="26"/>
      <c r="BF69" s="68"/>
      <c r="BG69" s="26"/>
      <c r="BH69" s="26"/>
      <c r="BI69" s="26"/>
      <c r="BJ69" s="26"/>
      <c r="BK69" s="26"/>
      <c r="BL69" s="26"/>
      <c r="BM69" s="27"/>
      <c r="BN69" s="27"/>
      <c r="BO69" s="27"/>
      <c r="BP69" s="27"/>
      <c r="BQ69" s="27"/>
      <c r="BR69" s="27"/>
      <c r="BS69" s="27"/>
      <c r="BT69" s="27"/>
      <c r="BU69" s="34"/>
      <c r="BW69" s="1" t="s">
        <v>548</v>
      </c>
    </row>
    <row r="70" spans="12:75" ht="15.5" x14ac:dyDescent="0.35">
      <c r="L70" s="13"/>
      <c r="M70" s="26"/>
      <c r="N70" s="26"/>
      <c r="O70" s="26"/>
      <c r="P70" s="26"/>
      <c r="Q70" s="26"/>
      <c r="R70" s="26"/>
      <c r="S70" s="26"/>
      <c r="T70" s="26"/>
      <c r="U70" s="26"/>
      <c r="V70" s="26"/>
      <c r="W70" s="26"/>
      <c r="X70" s="26"/>
      <c r="Y70" s="26"/>
      <c r="Z70" s="26"/>
      <c r="AA70" s="26"/>
      <c r="AB70" s="26"/>
      <c r="AC70" s="26"/>
      <c r="AD70" s="26"/>
      <c r="AE70" s="26"/>
      <c r="AF70" s="68"/>
      <c r="AG70" s="75"/>
      <c r="AH70" s="75"/>
      <c r="AI70" s="26"/>
      <c r="AJ70" s="26"/>
      <c r="AK70" s="26"/>
      <c r="AL70" s="26"/>
      <c r="AM70" s="26"/>
      <c r="AN70" s="26"/>
      <c r="AO70" s="26"/>
      <c r="AP70" s="26"/>
      <c r="AQ70" s="26"/>
      <c r="AR70" s="26"/>
      <c r="AS70" s="68"/>
      <c r="AT70" s="75"/>
      <c r="AU70" s="75"/>
      <c r="AV70" s="26"/>
      <c r="AW70" s="26"/>
      <c r="AX70" s="26"/>
      <c r="AY70" s="26"/>
      <c r="AZ70" s="26"/>
      <c r="BA70" s="26"/>
      <c r="BB70" s="26"/>
      <c r="BC70" s="26"/>
      <c r="BD70" s="26"/>
      <c r="BE70" s="26"/>
      <c r="BF70" s="68"/>
      <c r="BG70" s="26"/>
      <c r="BH70" s="26"/>
      <c r="BI70" s="26"/>
      <c r="BJ70" s="26"/>
      <c r="BK70" s="26"/>
      <c r="BL70" s="26"/>
      <c r="BM70" s="27"/>
      <c r="BN70" s="27"/>
      <c r="BO70" s="27"/>
      <c r="BP70" s="27"/>
      <c r="BQ70" s="27"/>
      <c r="BR70" s="27"/>
      <c r="BS70" s="27"/>
      <c r="BT70" s="27"/>
      <c r="BU70" s="34"/>
      <c r="BW70" s="1" t="s">
        <v>470</v>
      </c>
    </row>
    <row r="71" spans="12:75" ht="15.5" x14ac:dyDescent="0.35">
      <c r="L71" s="13"/>
      <c r="M71" s="26"/>
      <c r="N71" s="26"/>
      <c r="O71" s="26"/>
      <c r="P71" s="26"/>
      <c r="Q71" s="26"/>
      <c r="R71" s="26"/>
      <c r="S71" s="26"/>
      <c r="T71" s="26"/>
      <c r="U71" s="26"/>
      <c r="V71" s="26"/>
      <c r="W71" s="26"/>
      <c r="X71" s="26"/>
      <c r="Y71" s="26"/>
      <c r="Z71" s="26"/>
      <c r="AA71" s="26"/>
      <c r="AB71" s="26"/>
      <c r="AC71" s="26"/>
      <c r="AD71" s="26"/>
      <c r="AE71" s="26"/>
      <c r="AF71" s="68"/>
      <c r="AG71" s="75"/>
      <c r="AH71" s="75"/>
      <c r="AI71" s="26"/>
      <c r="AJ71" s="26"/>
      <c r="AK71" s="26"/>
      <c r="AL71" s="26"/>
      <c r="AM71" s="26"/>
      <c r="AN71" s="26"/>
      <c r="AO71" s="26"/>
      <c r="AP71" s="26"/>
      <c r="AQ71" s="26"/>
      <c r="AR71" s="26"/>
      <c r="AS71" s="68"/>
      <c r="AT71" s="75"/>
      <c r="AU71" s="75"/>
      <c r="AV71" s="26"/>
      <c r="AW71" s="26"/>
      <c r="AX71" s="26"/>
      <c r="AY71" s="26"/>
      <c r="AZ71" s="26"/>
      <c r="BA71" s="26"/>
      <c r="BB71" s="26"/>
      <c r="BC71" s="26"/>
      <c r="BD71" s="26"/>
      <c r="BE71" s="26"/>
      <c r="BF71" s="68"/>
      <c r="BG71" s="26"/>
      <c r="BH71" s="26"/>
      <c r="BI71" s="26"/>
      <c r="BJ71" s="26"/>
      <c r="BK71" s="26"/>
      <c r="BL71" s="26"/>
      <c r="BM71" s="27"/>
      <c r="BN71" s="27"/>
      <c r="BO71" s="27"/>
      <c r="BP71" s="27"/>
      <c r="BQ71" s="27"/>
      <c r="BR71" s="27"/>
      <c r="BS71" s="27"/>
      <c r="BT71" s="27"/>
      <c r="BU71" s="34"/>
      <c r="BW71" s="1" t="s">
        <v>471</v>
      </c>
    </row>
    <row r="72" spans="12:75" ht="15.5" x14ac:dyDescent="0.35">
      <c r="L72" s="13"/>
      <c r="M72" s="26"/>
      <c r="N72" s="26"/>
      <c r="O72" s="26"/>
      <c r="P72" s="26"/>
      <c r="Q72" s="26"/>
      <c r="R72" s="26"/>
      <c r="S72" s="26"/>
      <c r="T72" s="26"/>
      <c r="U72" s="26"/>
      <c r="V72" s="26"/>
      <c r="W72" s="26"/>
      <c r="X72" s="26"/>
      <c r="Y72" s="26"/>
      <c r="Z72" s="26"/>
      <c r="AA72" s="26"/>
      <c r="AB72" s="26"/>
      <c r="AC72" s="26"/>
      <c r="AD72" s="26"/>
      <c r="AE72" s="26"/>
      <c r="AF72" s="68"/>
      <c r="AG72" s="75"/>
      <c r="AH72" s="75"/>
      <c r="AI72" s="26"/>
      <c r="AJ72" s="26"/>
      <c r="AK72" s="26"/>
      <c r="AL72" s="26"/>
      <c r="AM72" s="26"/>
      <c r="AN72" s="26"/>
      <c r="AO72" s="26"/>
      <c r="AP72" s="26"/>
      <c r="AQ72" s="26"/>
      <c r="AR72" s="26"/>
      <c r="AS72" s="68"/>
      <c r="AT72" s="75"/>
      <c r="AU72" s="75"/>
      <c r="AV72" s="26"/>
      <c r="AW72" s="26"/>
      <c r="AX72" s="26"/>
      <c r="AY72" s="26"/>
      <c r="AZ72" s="26"/>
      <c r="BA72" s="26"/>
      <c r="BB72" s="26"/>
      <c r="BC72" s="26"/>
      <c r="BD72" s="26"/>
      <c r="BE72" s="26"/>
      <c r="BF72" s="68"/>
      <c r="BG72" s="26"/>
      <c r="BH72" s="26"/>
      <c r="BI72" s="26"/>
      <c r="BJ72" s="26"/>
      <c r="BK72" s="26"/>
      <c r="BL72" s="26"/>
      <c r="BM72" s="27"/>
      <c r="BN72" s="27"/>
      <c r="BO72" s="27"/>
      <c r="BP72" s="27"/>
      <c r="BQ72" s="27"/>
      <c r="BR72" s="27"/>
      <c r="BS72" s="27"/>
      <c r="BT72" s="27"/>
      <c r="BU72" s="34"/>
      <c r="BW72" s="1" t="s">
        <v>472</v>
      </c>
    </row>
    <row r="73" spans="12:75" ht="15.5" x14ac:dyDescent="0.35">
      <c r="L73" s="13"/>
      <c r="M73" s="26"/>
      <c r="N73" s="26"/>
      <c r="O73" s="26"/>
      <c r="P73" s="26"/>
      <c r="Q73" s="26"/>
      <c r="R73" s="26"/>
      <c r="S73" s="26"/>
      <c r="T73" s="26"/>
      <c r="U73" s="26"/>
      <c r="V73" s="26"/>
      <c r="W73" s="26"/>
      <c r="X73" s="26"/>
      <c r="Y73" s="26"/>
      <c r="Z73" s="26"/>
      <c r="AA73" s="26"/>
      <c r="AB73" s="26"/>
      <c r="AC73" s="26"/>
      <c r="AD73" s="26"/>
      <c r="AE73" s="26"/>
      <c r="AF73" s="68"/>
      <c r="AG73" s="75"/>
      <c r="AH73" s="75"/>
      <c r="AI73" s="26"/>
      <c r="AJ73" s="26"/>
      <c r="AK73" s="26"/>
      <c r="AL73" s="26"/>
      <c r="AM73" s="26"/>
      <c r="AN73" s="26"/>
      <c r="AO73" s="26"/>
      <c r="AP73" s="26"/>
      <c r="AQ73" s="26"/>
      <c r="AR73" s="26"/>
      <c r="AS73" s="68"/>
      <c r="AT73" s="75"/>
      <c r="AU73" s="75"/>
      <c r="AV73" s="26"/>
      <c r="AW73" s="26"/>
      <c r="AX73" s="26"/>
      <c r="AY73" s="26"/>
      <c r="AZ73" s="26"/>
      <c r="BA73" s="26"/>
      <c r="BB73" s="26"/>
      <c r="BC73" s="26"/>
      <c r="BD73" s="26"/>
      <c r="BE73" s="26"/>
      <c r="BF73" s="68"/>
      <c r="BG73" s="26"/>
      <c r="BH73" s="26"/>
      <c r="BI73" s="26"/>
      <c r="BJ73" s="26"/>
      <c r="BK73" s="26"/>
      <c r="BL73" s="26"/>
      <c r="BM73" s="27"/>
      <c r="BN73" s="27"/>
      <c r="BO73" s="27"/>
      <c r="BP73" s="27"/>
      <c r="BQ73" s="27"/>
      <c r="BR73" s="27"/>
      <c r="BS73" s="27"/>
      <c r="BT73" s="27"/>
      <c r="BU73" s="34"/>
      <c r="BW73" s="1" t="s">
        <v>473</v>
      </c>
    </row>
    <row r="74" spans="12:75" ht="15.5" x14ac:dyDescent="0.35">
      <c r="L74" s="13"/>
      <c r="M74" s="26"/>
      <c r="N74" s="26"/>
      <c r="O74" s="26"/>
      <c r="P74" s="26"/>
      <c r="Q74" s="26"/>
      <c r="R74" s="26"/>
      <c r="S74" s="26"/>
      <c r="T74" s="26"/>
      <c r="U74" s="26"/>
      <c r="V74" s="26"/>
      <c r="W74" s="26"/>
      <c r="X74" s="26"/>
      <c r="Y74" s="26"/>
      <c r="Z74" s="26"/>
      <c r="AA74" s="26"/>
      <c r="AB74" s="26"/>
      <c r="AC74" s="26"/>
      <c r="AD74" s="26"/>
      <c r="AE74" s="26"/>
      <c r="AF74" s="68"/>
      <c r="AG74" s="75"/>
      <c r="AH74" s="75"/>
      <c r="AI74" s="26"/>
      <c r="AJ74" s="26"/>
      <c r="AK74" s="26"/>
      <c r="AL74" s="26"/>
      <c r="AM74" s="26"/>
      <c r="AN74" s="26"/>
      <c r="AO74" s="26"/>
      <c r="AP74" s="26"/>
      <c r="AQ74" s="26"/>
      <c r="AR74" s="26"/>
      <c r="AS74" s="68"/>
      <c r="AT74" s="75"/>
      <c r="AU74" s="75"/>
      <c r="AV74" s="26"/>
      <c r="AW74" s="26"/>
      <c r="AX74" s="26"/>
      <c r="AY74" s="26"/>
      <c r="AZ74" s="26"/>
      <c r="BA74" s="26"/>
      <c r="BB74" s="26"/>
      <c r="BC74" s="26"/>
      <c r="BD74" s="26"/>
      <c r="BE74" s="26"/>
      <c r="BF74" s="68"/>
      <c r="BG74" s="26"/>
      <c r="BH74" s="26"/>
      <c r="BI74" s="26"/>
      <c r="BJ74" s="26"/>
      <c r="BK74" s="26"/>
      <c r="BL74" s="26"/>
      <c r="BM74" s="27"/>
      <c r="BN74" s="27"/>
      <c r="BO74" s="27"/>
      <c r="BP74" s="27"/>
      <c r="BQ74" s="27"/>
      <c r="BR74" s="27"/>
      <c r="BS74" s="27"/>
      <c r="BT74" s="27"/>
      <c r="BU74" s="34"/>
      <c r="BW74" s="1" t="s">
        <v>474</v>
      </c>
    </row>
    <row r="75" spans="12:75" ht="15.5" x14ac:dyDescent="0.35">
      <c r="L75" s="13"/>
      <c r="M75" s="26"/>
      <c r="N75" s="26"/>
      <c r="O75" s="26"/>
      <c r="P75" s="26"/>
      <c r="Q75" s="26"/>
      <c r="R75" s="26"/>
      <c r="S75" s="26"/>
      <c r="T75" s="26"/>
      <c r="U75" s="26"/>
      <c r="V75" s="26"/>
      <c r="W75" s="26"/>
      <c r="X75" s="26"/>
      <c r="Y75" s="26"/>
      <c r="Z75" s="26"/>
      <c r="AA75" s="26"/>
      <c r="AB75" s="26"/>
      <c r="AC75" s="26"/>
      <c r="AD75" s="26"/>
      <c r="AE75" s="26"/>
      <c r="AF75" s="68"/>
      <c r="AG75" s="75"/>
      <c r="AH75" s="75"/>
      <c r="AI75" s="26"/>
      <c r="AJ75" s="26"/>
      <c r="AK75" s="26"/>
      <c r="AL75" s="26"/>
      <c r="AM75" s="26"/>
      <c r="AN75" s="26"/>
      <c r="AO75" s="26"/>
      <c r="AP75" s="26"/>
      <c r="AQ75" s="26"/>
      <c r="AR75" s="26"/>
      <c r="AS75" s="68"/>
      <c r="AT75" s="75"/>
      <c r="AU75" s="75"/>
      <c r="AV75" s="26"/>
      <c r="AW75" s="26"/>
      <c r="AX75" s="26"/>
      <c r="AY75" s="26"/>
      <c r="AZ75" s="26"/>
      <c r="BA75" s="26"/>
      <c r="BB75" s="26"/>
      <c r="BC75" s="26"/>
      <c r="BD75" s="26"/>
      <c r="BE75" s="26"/>
      <c r="BF75" s="68"/>
      <c r="BG75" s="26"/>
      <c r="BH75" s="26"/>
      <c r="BI75" s="26"/>
      <c r="BJ75" s="26"/>
      <c r="BK75" s="26"/>
      <c r="BL75" s="26"/>
      <c r="BM75" s="27"/>
      <c r="BN75" s="27"/>
      <c r="BO75" s="27"/>
      <c r="BP75" s="27"/>
      <c r="BQ75" s="27"/>
      <c r="BR75" s="27"/>
      <c r="BS75" s="27"/>
      <c r="BT75" s="27"/>
      <c r="BU75" s="34"/>
      <c r="BW75" s="1" t="s">
        <v>475</v>
      </c>
    </row>
    <row r="76" spans="12:75" ht="15.5" x14ac:dyDescent="0.35">
      <c r="L76" s="13"/>
      <c r="M76" s="26"/>
      <c r="N76" s="26"/>
      <c r="O76" s="26"/>
      <c r="P76" s="26"/>
      <c r="Q76" s="26"/>
      <c r="R76" s="26"/>
      <c r="S76" s="26"/>
      <c r="T76" s="26"/>
      <c r="U76" s="26"/>
      <c r="V76" s="26"/>
      <c r="W76" s="26"/>
      <c r="X76" s="26"/>
      <c r="Y76" s="26"/>
      <c r="Z76" s="26"/>
      <c r="AA76" s="26"/>
      <c r="AB76" s="26"/>
      <c r="AC76" s="26"/>
      <c r="AD76" s="26"/>
      <c r="AE76" s="26"/>
      <c r="AF76" s="68"/>
      <c r="AG76" s="75"/>
      <c r="AH76" s="75"/>
      <c r="AI76" s="26"/>
      <c r="AJ76" s="26"/>
      <c r="AK76" s="26"/>
      <c r="AL76" s="26"/>
      <c r="AM76" s="26"/>
      <c r="AN76" s="26"/>
      <c r="AO76" s="26"/>
      <c r="AP76" s="26"/>
      <c r="AQ76" s="26"/>
      <c r="AR76" s="26"/>
      <c r="AS76" s="68"/>
      <c r="AT76" s="75"/>
      <c r="AU76" s="75"/>
      <c r="AV76" s="26"/>
      <c r="AW76" s="26"/>
      <c r="AX76" s="26"/>
      <c r="AY76" s="26"/>
      <c r="AZ76" s="26"/>
      <c r="BA76" s="26"/>
      <c r="BB76" s="26"/>
      <c r="BC76" s="26"/>
      <c r="BD76" s="26"/>
      <c r="BE76" s="26"/>
      <c r="BF76" s="68"/>
      <c r="BG76" s="26"/>
      <c r="BH76" s="26"/>
      <c r="BI76" s="26"/>
      <c r="BJ76" s="26"/>
      <c r="BK76" s="26"/>
      <c r="BL76" s="26"/>
      <c r="BM76" s="27"/>
      <c r="BN76" s="27"/>
      <c r="BO76" s="27"/>
      <c r="BP76" s="27"/>
      <c r="BQ76" s="27"/>
      <c r="BR76" s="27"/>
      <c r="BS76" s="27"/>
      <c r="BT76" s="27"/>
      <c r="BU76" s="34"/>
      <c r="BW76" s="1" t="s">
        <v>476</v>
      </c>
    </row>
    <row r="77" spans="12:75" ht="15.5" x14ac:dyDescent="0.35">
      <c r="L77" s="13"/>
      <c r="M77" s="26"/>
      <c r="N77" s="26"/>
      <c r="O77" s="26"/>
      <c r="P77" s="26"/>
      <c r="Q77" s="26"/>
      <c r="R77" s="26"/>
      <c r="S77" s="26"/>
      <c r="T77" s="26"/>
      <c r="U77" s="26"/>
      <c r="V77" s="26"/>
      <c r="W77" s="26"/>
      <c r="X77" s="26"/>
      <c r="Y77" s="26"/>
      <c r="Z77" s="26"/>
      <c r="AA77" s="26"/>
      <c r="AB77" s="26"/>
      <c r="AC77" s="26"/>
      <c r="AD77" s="26"/>
      <c r="AE77" s="26"/>
      <c r="AF77" s="68"/>
      <c r="AG77" s="75"/>
      <c r="AH77" s="75"/>
      <c r="AI77" s="26"/>
      <c r="AJ77" s="26"/>
      <c r="AK77" s="26"/>
      <c r="AL77" s="26"/>
      <c r="AM77" s="26"/>
      <c r="AN77" s="26"/>
      <c r="AO77" s="26"/>
      <c r="AP77" s="26"/>
      <c r="AQ77" s="26"/>
      <c r="AR77" s="26"/>
      <c r="AS77" s="68"/>
      <c r="AT77" s="75"/>
      <c r="AU77" s="75"/>
      <c r="AV77" s="26"/>
      <c r="AW77" s="26"/>
      <c r="AX77" s="26"/>
      <c r="AY77" s="26"/>
      <c r="AZ77" s="26"/>
      <c r="BA77" s="26"/>
      <c r="BB77" s="26"/>
      <c r="BC77" s="26"/>
      <c r="BD77" s="26"/>
      <c r="BE77" s="26"/>
      <c r="BF77" s="68"/>
      <c r="BG77" s="26"/>
      <c r="BH77" s="26"/>
      <c r="BI77" s="26"/>
      <c r="BJ77" s="26"/>
      <c r="BK77" s="26"/>
      <c r="BL77" s="26"/>
      <c r="BM77" s="27"/>
      <c r="BN77" s="27"/>
      <c r="BO77" s="27"/>
      <c r="BP77" s="27"/>
      <c r="BQ77" s="27"/>
      <c r="BR77" s="27"/>
      <c r="BS77" s="27"/>
      <c r="BT77" s="27"/>
      <c r="BU77" s="26"/>
      <c r="BW77" s="1" t="s">
        <v>477</v>
      </c>
    </row>
    <row r="78" spans="12:75" ht="15.5" x14ac:dyDescent="0.35">
      <c r="L78" s="13"/>
      <c r="M78" s="26"/>
      <c r="N78" s="26"/>
      <c r="O78" s="26"/>
      <c r="P78" s="26"/>
      <c r="Q78" s="26"/>
      <c r="R78" s="26"/>
      <c r="S78" s="26"/>
      <c r="T78" s="26"/>
      <c r="U78" s="26"/>
      <c r="V78" s="26"/>
      <c r="W78" s="26"/>
      <c r="X78" s="26"/>
      <c r="Y78" s="26"/>
      <c r="Z78" s="26"/>
      <c r="AA78" s="26"/>
      <c r="AB78" s="26"/>
      <c r="AC78" s="26"/>
      <c r="AD78" s="26"/>
      <c r="AE78" s="26"/>
      <c r="AF78" s="68"/>
      <c r="AG78" s="75"/>
      <c r="AH78" s="75"/>
      <c r="AI78" s="26"/>
      <c r="AJ78" s="26"/>
      <c r="AK78" s="26"/>
      <c r="AL78" s="26"/>
      <c r="AM78" s="26"/>
      <c r="AN78" s="26"/>
      <c r="AO78" s="26"/>
      <c r="AP78" s="26"/>
      <c r="AQ78" s="26"/>
      <c r="AR78" s="26"/>
      <c r="AS78" s="68"/>
      <c r="AT78" s="75"/>
      <c r="AU78" s="75"/>
      <c r="AV78" s="26"/>
      <c r="AW78" s="26"/>
      <c r="AX78" s="26"/>
      <c r="AY78" s="26"/>
      <c r="AZ78" s="26"/>
      <c r="BA78" s="26"/>
      <c r="BB78" s="26"/>
      <c r="BC78" s="26"/>
      <c r="BD78" s="26"/>
      <c r="BE78" s="26"/>
      <c r="BF78" s="68"/>
      <c r="BG78" s="26"/>
      <c r="BH78" s="26"/>
      <c r="BI78" s="26"/>
      <c r="BJ78" s="26"/>
      <c r="BK78" s="26"/>
      <c r="BL78" s="26"/>
      <c r="BM78" s="27"/>
      <c r="BN78" s="27"/>
      <c r="BO78" s="27"/>
      <c r="BP78" s="27"/>
      <c r="BQ78" s="27"/>
      <c r="BR78" s="27"/>
      <c r="BS78" s="27"/>
      <c r="BT78" s="27"/>
      <c r="BU78" s="26"/>
      <c r="BW78" s="1" t="s">
        <v>478</v>
      </c>
    </row>
    <row r="79" spans="12:75" ht="15.5" x14ac:dyDescent="0.35">
      <c r="L79" s="13"/>
      <c r="M79" s="26"/>
      <c r="N79" s="26"/>
      <c r="O79" s="26"/>
      <c r="P79" s="26"/>
      <c r="Q79" s="26"/>
      <c r="R79" s="26"/>
      <c r="S79" s="26"/>
      <c r="T79" s="26"/>
      <c r="U79" s="26"/>
      <c r="V79" s="26"/>
      <c r="W79" s="26"/>
      <c r="X79" s="26"/>
      <c r="Y79" s="26"/>
      <c r="Z79" s="26"/>
      <c r="AA79" s="26"/>
      <c r="AB79" s="26"/>
      <c r="AC79" s="26"/>
      <c r="AD79" s="26"/>
      <c r="AE79" s="26"/>
      <c r="AF79" s="68"/>
      <c r="AG79" s="75"/>
      <c r="AH79" s="75"/>
      <c r="AI79" s="26"/>
      <c r="AJ79" s="26"/>
      <c r="AK79" s="26"/>
      <c r="AL79" s="26"/>
      <c r="AM79" s="26"/>
      <c r="AN79" s="26"/>
      <c r="AO79" s="26"/>
      <c r="AP79" s="26"/>
      <c r="AQ79" s="26"/>
      <c r="AR79" s="26"/>
      <c r="AS79" s="68"/>
      <c r="AT79" s="75"/>
      <c r="AU79" s="75"/>
      <c r="AV79" s="26"/>
      <c r="AW79" s="26"/>
      <c r="AX79" s="26"/>
      <c r="AY79" s="26"/>
      <c r="AZ79" s="26"/>
      <c r="BA79" s="26"/>
      <c r="BB79" s="26"/>
      <c r="BC79" s="26"/>
      <c r="BD79" s="26"/>
      <c r="BE79" s="26"/>
      <c r="BF79" s="68"/>
      <c r="BG79" s="26"/>
      <c r="BH79" s="26"/>
      <c r="BI79" s="26"/>
      <c r="BJ79" s="26"/>
      <c r="BK79" s="26"/>
      <c r="BL79" s="26"/>
      <c r="BM79" s="27"/>
      <c r="BN79" s="27"/>
      <c r="BO79" s="27"/>
      <c r="BP79" s="27"/>
      <c r="BQ79" s="27"/>
      <c r="BR79" s="27"/>
      <c r="BS79" s="27"/>
      <c r="BT79" s="27"/>
      <c r="BU79" s="26"/>
      <c r="BW79" s="1"/>
    </row>
    <row r="80" spans="12:75" ht="15.5" x14ac:dyDescent="0.35">
      <c r="L80" s="13"/>
      <c r="M80" s="26"/>
      <c r="N80" s="26"/>
      <c r="O80" s="26"/>
      <c r="P80" s="26"/>
      <c r="Q80" s="26"/>
      <c r="R80" s="26"/>
      <c r="S80" s="26"/>
      <c r="T80" s="26"/>
      <c r="U80" s="26"/>
      <c r="V80" s="26"/>
      <c r="W80" s="26"/>
      <c r="X80" s="26"/>
      <c r="Y80" s="26"/>
      <c r="Z80" s="26"/>
      <c r="AA80" s="26"/>
      <c r="AB80" s="26"/>
      <c r="AC80" s="26"/>
      <c r="AD80" s="26"/>
      <c r="AE80" s="26"/>
      <c r="AF80" s="68"/>
      <c r="AG80" s="75"/>
      <c r="AH80" s="75"/>
      <c r="AI80" s="26"/>
      <c r="AJ80" s="26"/>
      <c r="AK80" s="26"/>
      <c r="AL80" s="26"/>
      <c r="AM80" s="26"/>
      <c r="AN80" s="26"/>
      <c r="AO80" s="26"/>
      <c r="AP80" s="26"/>
      <c r="AQ80" s="26"/>
      <c r="AR80" s="26"/>
      <c r="AS80" s="68"/>
      <c r="AT80" s="75"/>
      <c r="AU80" s="75"/>
      <c r="AV80" s="26"/>
      <c r="AW80" s="26"/>
      <c r="AX80" s="26"/>
      <c r="AY80" s="26"/>
      <c r="AZ80" s="26"/>
      <c r="BA80" s="26"/>
      <c r="BB80" s="26"/>
      <c r="BC80" s="26"/>
      <c r="BD80" s="26"/>
      <c r="BE80" s="26"/>
      <c r="BF80" s="68"/>
      <c r="BG80" s="26"/>
      <c r="BH80" s="26"/>
      <c r="BI80" s="26"/>
      <c r="BJ80" s="26"/>
      <c r="BK80" s="26"/>
      <c r="BL80" s="26"/>
      <c r="BM80" s="27"/>
      <c r="BN80" s="27"/>
      <c r="BO80" s="27"/>
      <c r="BP80" s="27"/>
      <c r="BQ80" s="27"/>
      <c r="BR80" s="27"/>
      <c r="BS80" s="27"/>
      <c r="BT80" s="27"/>
      <c r="BU80" s="26"/>
      <c r="BW80" s="1" t="s">
        <v>479</v>
      </c>
    </row>
    <row r="81" spans="12:75" ht="15.5" x14ac:dyDescent="0.35">
      <c r="L81" s="13"/>
      <c r="M81" s="26"/>
      <c r="N81" s="26"/>
      <c r="O81" s="26"/>
      <c r="P81" s="26"/>
      <c r="Q81" s="26"/>
      <c r="R81" s="26"/>
      <c r="S81" s="26"/>
      <c r="T81" s="26"/>
      <c r="U81" s="26"/>
      <c r="V81" s="26"/>
      <c r="W81" s="26"/>
      <c r="X81" s="26"/>
      <c r="Y81" s="26"/>
      <c r="Z81" s="26"/>
      <c r="AA81" s="26"/>
      <c r="AB81" s="26"/>
      <c r="AC81" s="26"/>
      <c r="AD81" s="26"/>
      <c r="AE81" s="26"/>
      <c r="AF81" s="68"/>
      <c r="AG81" s="75"/>
      <c r="AH81" s="75"/>
      <c r="AI81" s="26"/>
      <c r="AJ81" s="26"/>
      <c r="AK81" s="26"/>
      <c r="AL81" s="26"/>
      <c r="AM81" s="26"/>
      <c r="AN81" s="26"/>
      <c r="AO81" s="26"/>
      <c r="AP81" s="26"/>
      <c r="AQ81" s="26"/>
      <c r="AR81" s="26"/>
      <c r="AS81" s="68"/>
      <c r="AT81" s="75"/>
      <c r="AU81" s="75"/>
      <c r="AV81" s="26"/>
      <c r="AW81" s="26"/>
      <c r="AX81" s="26"/>
      <c r="AY81" s="26"/>
      <c r="AZ81" s="26"/>
      <c r="BA81" s="26"/>
      <c r="BB81" s="26"/>
      <c r="BC81" s="26"/>
      <c r="BD81" s="26"/>
      <c r="BE81" s="26"/>
      <c r="BF81" s="68"/>
      <c r="BG81" s="26"/>
      <c r="BH81" s="26"/>
      <c r="BI81" s="26"/>
      <c r="BJ81" s="26"/>
      <c r="BK81" s="26"/>
      <c r="BL81" s="26"/>
      <c r="BM81" s="27"/>
      <c r="BN81" s="27"/>
      <c r="BO81" s="27"/>
      <c r="BP81" s="27"/>
      <c r="BQ81" s="27"/>
      <c r="BR81" s="27"/>
      <c r="BS81" s="27"/>
      <c r="BT81" s="27"/>
      <c r="BU81" s="26"/>
      <c r="BW81" s="1" t="s">
        <v>480</v>
      </c>
    </row>
    <row r="82" spans="12:75" ht="15.5" x14ac:dyDescent="0.35">
      <c r="L82" s="13"/>
      <c r="M82" s="26"/>
      <c r="N82" s="26"/>
      <c r="O82" s="26"/>
      <c r="P82" s="26"/>
      <c r="Q82" s="26"/>
      <c r="R82" s="26"/>
      <c r="S82" s="26"/>
      <c r="T82" s="26"/>
      <c r="U82" s="26"/>
      <c r="V82" s="26"/>
      <c r="W82" s="26"/>
      <c r="X82" s="26"/>
      <c r="Y82" s="26"/>
      <c r="Z82" s="26"/>
      <c r="AA82" s="26"/>
      <c r="AB82" s="26"/>
      <c r="AC82" s="26"/>
      <c r="AD82" s="26"/>
      <c r="AE82" s="26"/>
      <c r="AF82" s="68"/>
      <c r="AG82" s="75"/>
      <c r="AH82" s="75"/>
      <c r="AI82" s="26"/>
      <c r="AJ82" s="26"/>
      <c r="AK82" s="26"/>
      <c r="AL82" s="26"/>
      <c r="AM82" s="26"/>
      <c r="AN82" s="26"/>
      <c r="AO82" s="26"/>
      <c r="AP82" s="26"/>
      <c r="AQ82" s="26"/>
      <c r="AR82" s="26"/>
      <c r="AS82" s="68"/>
      <c r="AT82" s="75"/>
      <c r="AU82" s="75"/>
      <c r="AV82" s="26"/>
      <c r="AW82" s="26"/>
      <c r="AX82" s="26"/>
      <c r="AY82" s="26"/>
      <c r="AZ82" s="26"/>
      <c r="BA82" s="26"/>
      <c r="BB82" s="26"/>
      <c r="BC82" s="26"/>
      <c r="BD82" s="26"/>
      <c r="BE82" s="26"/>
      <c r="BF82" s="68"/>
      <c r="BG82" s="26"/>
      <c r="BH82" s="26"/>
      <c r="BI82" s="26"/>
      <c r="BJ82" s="26"/>
      <c r="BK82" s="26"/>
      <c r="BL82" s="26"/>
      <c r="BM82" s="27"/>
      <c r="BN82" s="27"/>
      <c r="BO82" s="27"/>
      <c r="BP82" s="27"/>
      <c r="BQ82" s="27"/>
      <c r="BR82" s="27"/>
      <c r="BS82" s="27"/>
      <c r="BT82" s="27"/>
      <c r="BU82" s="26"/>
      <c r="BW82" s="1" t="s">
        <v>481</v>
      </c>
    </row>
    <row r="83" spans="12:75" ht="15.5" x14ac:dyDescent="0.35">
      <c r="L83" s="13"/>
      <c r="M83" s="26"/>
      <c r="N83" s="26"/>
      <c r="O83" s="26"/>
      <c r="P83" s="26"/>
      <c r="Q83" s="26"/>
      <c r="R83" s="26"/>
      <c r="S83" s="26"/>
      <c r="T83" s="26"/>
      <c r="U83" s="26"/>
      <c r="V83" s="26"/>
      <c r="W83" s="26"/>
      <c r="X83" s="26"/>
      <c r="Y83" s="26"/>
      <c r="Z83" s="26"/>
      <c r="AA83" s="26"/>
      <c r="AB83" s="26"/>
      <c r="AC83" s="26"/>
      <c r="AD83" s="26"/>
      <c r="AE83" s="26"/>
      <c r="AF83" s="68"/>
      <c r="AG83" s="75"/>
      <c r="AH83" s="75"/>
      <c r="AI83" s="26"/>
      <c r="AJ83" s="26"/>
      <c r="AK83" s="26"/>
      <c r="AL83" s="26"/>
      <c r="AM83" s="26"/>
      <c r="AN83" s="26"/>
      <c r="AO83" s="26"/>
      <c r="AP83" s="26"/>
      <c r="AQ83" s="26"/>
      <c r="AR83" s="26"/>
      <c r="AS83" s="68"/>
      <c r="AT83" s="75"/>
      <c r="AU83" s="75"/>
      <c r="AV83" s="26"/>
      <c r="AW83" s="26"/>
      <c r="AX83" s="26"/>
      <c r="AY83" s="26"/>
      <c r="AZ83" s="26"/>
      <c r="BA83" s="26"/>
      <c r="BB83" s="26"/>
      <c r="BC83" s="26"/>
      <c r="BD83" s="26"/>
      <c r="BE83" s="26"/>
      <c r="BF83" s="68"/>
      <c r="BG83" s="26"/>
      <c r="BH83" s="26"/>
      <c r="BI83" s="26"/>
      <c r="BJ83" s="26"/>
      <c r="BK83" s="26"/>
      <c r="BL83" s="26"/>
      <c r="BM83" s="27"/>
      <c r="BN83" s="27"/>
      <c r="BO83" s="27"/>
      <c r="BP83" s="27"/>
      <c r="BQ83" s="27"/>
      <c r="BR83" s="27"/>
      <c r="BS83" s="27"/>
      <c r="BT83" s="27"/>
      <c r="BU83" s="26"/>
      <c r="BW83" s="1" t="s">
        <v>482</v>
      </c>
    </row>
    <row r="84" spans="12:75" ht="15.5" x14ac:dyDescent="0.35">
      <c r="L84" s="13"/>
      <c r="M84" s="26"/>
      <c r="N84" s="26"/>
      <c r="O84" s="26"/>
      <c r="P84" s="26"/>
      <c r="Q84" s="26"/>
      <c r="R84" s="26"/>
      <c r="S84" s="26"/>
      <c r="T84" s="26"/>
      <c r="U84" s="26"/>
      <c r="V84" s="26"/>
      <c r="W84" s="26"/>
      <c r="X84" s="26"/>
      <c r="Y84" s="26"/>
      <c r="Z84" s="26"/>
      <c r="AA84" s="26"/>
      <c r="AB84" s="26"/>
      <c r="AC84" s="26"/>
      <c r="AD84" s="26"/>
      <c r="AE84" s="26"/>
      <c r="AF84" s="68"/>
      <c r="AG84" s="75"/>
      <c r="AH84" s="75"/>
      <c r="AI84" s="26"/>
      <c r="AJ84" s="26"/>
      <c r="AK84" s="26"/>
      <c r="AL84" s="26"/>
      <c r="AM84" s="26"/>
      <c r="AN84" s="26"/>
      <c r="AO84" s="26"/>
      <c r="AP84" s="26"/>
      <c r="AQ84" s="26"/>
      <c r="AR84" s="26"/>
      <c r="AS84" s="68"/>
      <c r="AT84" s="75"/>
      <c r="AU84" s="75"/>
      <c r="AV84" s="26"/>
      <c r="AW84" s="26"/>
      <c r="AX84" s="26"/>
      <c r="AY84" s="26"/>
      <c r="AZ84" s="26"/>
      <c r="BA84" s="26"/>
      <c r="BB84" s="26"/>
      <c r="BC84" s="26"/>
      <c r="BD84" s="26"/>
      <c r="BE84" s="26"/>
      <c r="BF84" s="68"/>
      <c r="BG84" s="26"/>
      <c r="BH84" s="26"/>
      <c r="BI84" s="26"/>
      <c r="BJ84" s="26"/>
      <c r="BK84" s="26"/>
      <c r="BL84" s="26"/>
      <c r="BM84" s="27"/>
      <c r="BN84" s="27"/>
      <c r="BO84" s="27"/>
      <c r="BP84" s="27"/>
      <c r="BQ84" s="27"/>
      <c r="BR84" s="27"/>
      <c r="BS84" s="27"/>
      <c r="BT84" s="27"/>
      <c r="BU84" s="26"/>
      <c r="BW84" s="1" t="s">
        <v>446</v>
      </c>
    </row>
    <row r="85" spans="12:75" ht="15.5" x14ac:dyDescent="0.35">
      <c r="L85" s="13"/>
      <c r="M85" s="26"/>
      <c r="N85" s="26"/>
      <c r="O85" s="26"/>
      <c r="P85" s="26"/>
      <c r="Q85" s="26"/>
      <c r="R85" s="26"/>
      <c r="S85" s="26"/>
      <c r="T85" s="26"/>
      <c r="U85" s="26"/>
      <c r="V85" s="26"/>
      <c r="W85" s="26"/>
      <c r="X85" s="26"/>
      <c r="Y85" s="26"/>
      <c r="Z85" s="26"/>
      <c r="AA85" s="26"/>
      <c r="AB85" s="26"/>
      <c r="AC85" s="26"/>
      <c r="AD85" s="26"/>
      <c r="AE85" s="26"/>
      <c r="AF85" s="68"/>
      <c r="AG85" s="75"/>
      <c r="AH85" s="75"/>
      <c r="AI85" s="26"/>
      <c r="AJ85" s="26"/>
      <c r="AK85" s="26"/>
      <c r="AL85" s="26"/>
      <c r="AM85" s="26"/>
      <c r="AN85" s="26"/>
      <c r="AO85" s="26"/>
      <c r="AP85" s="26"/>
      <c r="AQ85" s="26"/>
      <c r="AR85" s="26"/>
      <c r="AS85" s="68"/>
      <c r="AT85" s="75"/>
      <c r="AU85" s="75"/>
      <c r="AV85" s="26"/>
      <c r="AW85" s="26"/>
      <c r="AX85" s="26"/>
      <c r="AY85" s="26"/>
      <c r="AZ85" s="26"/>
      <c r="BA85" s="26"/>
      <c r="BB85" s="26"/>
      <c r="BC85" s="26"/>
      <c r="BD85" s="26"/>
      <c r="BE85" s="26"/>
      <c r="BF85" s="68"/>
      <c r="BG85" s="26"/>
      <c r="BH85" s="26"/>
      <c r="BI85" s="26"/>
      <c r="BJ85" s="26"/>
      <c r="BK85" s="26"/>
      <c r="BL85" s="26"/>
      <c r="BM85" s="26"/>
      <c r="BN85" s="26"/>
      <c r="BO85" s="26"/>
      <c r="BP85" s="26"/>
      <c r="BQ85" s="26"/>
      <c r="BR85" s="26"/>
      <c r="BS85" s="26"/>
      <c r="BT85" s="26"/>
      <c r="BU85" s="26"/>
      <c r="BW85" s="1" t="s">
        <v>447</v>
      </c>
    </row>
    <row r="86" spans="12:75" ht="15.5" x14ac:dyDescent="0.35">
      <c r="L86" s="13"/>
      <c r="M86" s="26"/>
      <c r="N86" s="26"/>
      <c r="O86" s="26"/>
      <c r="P86" s="26"/>
      <c r="Q86" s="26"/>
      <c r="R86" s="26"/>
      <c r="S86" s="26"/>
      <c r="T86" s="26"/>
      <c r="U86" s="26"/>
      <c r="V86" s="26"/>
      <c r="W86" s="26"/>
      <c r="X86" s="26"/>
      <c r="Y86" s="26"/>
      <c r="Z86" s="26"/>
      <c r="AA86" s="26"/>
      <c r="AB86" s="26"/>
      <c r="AC86" s="26"/>
      <c r="AD86" s="26"/>
      <c r="AE86" s="26"/>
      <c r="AF86" s="68"/>
      <c r="AG86" s="75"/>
      <c r="AH86" s="75"/>
      <c r="AI86" s="26"/>
      <c r="AJ86" s="26"/>
      <c r="AK86" s="26"/>
      <c r="AL86" s="26"/>
      <c r="AM86" s="26"/>
      <c r="AN86" s="26"/>
      <c r="AO86" s="26"/>
      <c r="AP86" s="26"/>
      <c r="AQ86" s="26"/>
      <c r="AR86" s="26"/>
      <c r="AS86" s="68"/>
      <c r="AT86" s="75"/>
      <c r="AU86" s="75"/>
      <c r="AV86" s="26"/>
      <c r="AW86" s="26"/>
      <c r="AX86" s="26"/>
      <c r="AY86" s="26"/>
      <c r="AZ86" s="26"/>
      <c r="BA86" s="26"/>
      <c r="BB86" s="26"/>
      <c r="BC86" s="26"/>
      <c r="BD86" s="26"/>
      <c r="BE86" s="26"/>
      <c r="BF86" s="68"/>
      <c r="BG86" s="26"/>
      <c r="BH86" s="26"/>
      <c r="BI86" s="26"/>
      <c r="BJ86" s="26"/>
      <c r="BK86" s="26"/>
      <c r="BL86" s="26"/>
      <c r="BM86" s="26"/>
      <c r="BN86" s="26"/>
      <c r="BO86" s="26"/>
      <c r="BP86" s="26"/>
      <c r="BQ86" s="26"/>
      <c r="BR86" s="26"/>
      <c r="BS86" s="26"/>
      <c r="BT86" s="26"/>
      <c r="BU86" s="26"/>
      <c r="BW86" s="1" t="s">
        <v>483</v>
      </c>
    </row>
    <row r="87" spans="12:75" ht="15.5" x14ac:dyDescent="0.35">
      <c r="L87" s="13"/>
      <c r="M87" s="26"/>
      <c r="N87" s="26"/>
      <c r="O87" s="26"/>
      <c r="P87" s="26"/>
      <c r="Q87" s="26"/>
      <c r="R87" s="26"/>
      <c r="S87" s="26"/>
      <c r="T87" s="26"/>
      <c r="U87" s="26"/>
      <c r="V87" s="26"/>
      <c r="W87" s="26"/>
      <c r="X87" s="26"/>
      <c r="Y87" s="26"/>
      <c r="Z87" s="26"/>
      <c r="AA87" s="26"/>
      <c r="AB87" s="26"/>
      <c r="AC87" s="26"/>
      <c r="AD87" s="26"/>
      <c r="AE87" s="26"/>
      <c r="AF87" s="68"/>
      <c r="AG87" s="75"/>
      <c r="AH87" s="75"/>
      <c r="AI87" s="26"/>
      <c r="AJ87" s="26"/>
      <c r="AK87" s="26"/>
      <c r="AL87" s="26"/>
      <c r="AM87" s="26"/>
      <c r="AN87" s="26"/>
      <c r="AO87" s="26"/>
      <c r="AP87" s="26"/>
      <c r="AQ87" s="26"/>
      <c r="AR87" s="26"/>
      <c r="AS87" s="68"/>
      <c r="AT87" s="75"/>
      <c r="AU87" s="75"/>
      <c r="AV87" s="26"/>
      <c r="AW87" s="26"/>
      <c r="AX87" s="26"/>
      <c r="AY87" s="26"/>
      <c r="AZ87" s="26"/>
      <c r="BA87" s="26"/>
      <c r="BB87" s="26"/>
      <c r="BC87" s="26"/>
      <c r="BD87" s="26"/>
      <c r="BE87" s="26"/>
      <c r="BF87" s="68"/>
      <c r="BG87" s="26"/>
      <c r="BH87" s="26"/>
      <c r="BI87" s="26"/>
      <c r="BJ87" s="26"/>
      <c r="BK87" s="26"/>
      <c r="BL87" s="26"/>
      <c r="BM87" s="26"/>
      <c r="BN87" s="26"/>
      <c r="BO87" s="26"/>
      <c r="BP87" s="26"/>
      <c r="BQ87" s="26"/>
      <c r="BR87" s="26"/>
      <c r="BS87" s="26"/>
      <c r="BT87" s="26"/>
      <c r="BU87" s="26"/>
      <c r="BW87" s="1" t="s">
        <v>484</v>
      </c>
    </row>
    <row r="88" spans="12:75" ht="15.5" x14ac:dyDescent="0.35">
      <c r="L88" s="13"/>
      <c r="M88" s="26"/>
      <c r="N88" s="26"/>
      <c r="O88" s="26"/>
      <c r="P88" s="26"/>
      <c r="Q88" s="26"/>
      <c r="R88" s="26"/>
      <c r="S88" s="26"/>
      <c r="T88" s="26"/>
      <c r="U88" s="26"/>
      <c r="V88" s="26"/>
      <c r="W88" s="26"/>
      <c r="X88" s="26"/>
      <c r="Y88" s="26"/>
      <c r="Z88" s="26"/>
      <c r="AA88" s="26"/>
      <c r="AB88" s="26"/>
      <c r="AC88" s="26"/>
      <c r="AD88" s="26"/>
      <c r="AE88" s="26"/>
      <c r="AF88" s="68"/>
      <c r="AG88" s="75"/>
      <c r="AH88" s="75"/>
      <c r="AI88" s="26"/>
      <c r="AJ88" s="26"/>
      <c r="AK88" s="26"/>
      <c r="AL88" s="26"/>
      <c r="AM88" s="26"/>
      <c r="AN88" s="26"/>
      <c r="AO88" s="26"/>
      <c r="AP88" s="26"/>
      <c r="AQ88" s="26"/>
      <c r="AR88" s="26"/>
      <c r="AS88" s="68"/>
      <c r="AT88" s="75"/>
      <c r="AU88" s="75"/>
      <c r="AV88" s="26"/>
      <c r="AW88" s="26"/>
      <c r="AX88" s="26"/>
      <c r="AY88" s="26"/>
      <c r="AZ88" s="26"/>
      <c r="BA88" s="26"/>
      <c r="BB88" s="26"/>
      <c r="BC88" s="26"/>
      <c r="BD88" s="26"/>
      <c r="BE88" s="26"/>
      <c r="BF88" s="68"/>
      <c r="BG88" s="26"/>
      <c r="BH88" s="26"/>
      <c r="BI88" s="26"/>
      <c r="BJ88" s="26"/>
      <c r="BK88" s="26"/>
      <c r="BL88" s="26"/>
      <c r="BM88" s="26"/>
      <c r="BN88" s="26"/>
      <c r="BO88" s="26"/>
      <c r="BP88" s="26"/>
      <c r="BQ88" s="26"/>
      <c r="BR88" s="26"/>
      <c r="BS88" s="26"/>
      <c r="BT88" s="26"/>
      <c r="BU88" s="26"/>
      <c r="BW88" s="1" t="s">
        <v>485</v>
      </c>
    </row>
    <row r="89" spans="12:75" ht="15.5" x14ac:dyDescent="0.35">
      <c r="L89" s="13"/>
      <c r="M89" s="26"/>
      <c r="N89" s="26"/>
      <c r="O89" s="26"/>
      <c r="P89" s="26"/>
      <c r="Q89" s="26"/>
      <c r="R89" s="26"/>
      <c r="S89" s="26"/>
      <c r="T89" s="26"/>
      <c r="U89" s="26"/>
      <c r="V89" s="26"/>
      <c r="W89" s="26"/>
      <c r="X89" s="26"/>
      <c r="Y89" s="26"/>
      <c r="Z89" s="26"/>
      <c r="AA89" s="26"/>
      <c r="AB89" s="26"/>
      <c r="AC89" s="26"/>
      <c r="AD89" s="26"/>
      <c r="AE89" s="26"/>
      <c r="AF89" s="68"/>
      <c r="AG89" s="75"/>
      <c r="AH89" s="75"/>
      <c r="AI89" s="26"/>
      <c r="AJ89" s="26"/>
      <c r="AK89" s="26"/>
      <c r="AL89" s="26"/>
      <c r="AM89" s="26"/>
      <c r="AN89" s="26"/>
      <c r="AO89" s="26"/>
      <c r="AP89" s="26"/>
      <c r="AQ89" s="26"/>
      <c r="AR89" s="26"/>
      <c r="AS89" s="68"/>
      <c r="AT89" s="75"/>
      <c r="AU89" s="75"/>
      <c r="AV89" s="26"/>
      <c r="AW89" s="26"/>
      <c r="AX89" s="26"/>
      <c r="AY89" s="26"/>
      <c r="AZ89" s="26"/>
      <c r="BA89" s="26"/>
      <c r="BB89" s="26"/>
      <c r="BC89" s="26"/>
      <c r="BD89" s="26"/>
      <c r="BE89" s="26"/>
      <c r="BF89" s="68"/>
      <c r="BG89" s="26"/>
      <c r="BH89" s="26"/>
      <c r="BI89" s="26"/>
      <c r="BJ89" s="26"/>
      <c r="BK89" s="26"/>
      <c r="BL89" s="26"/>
      <c r="BM89" s="26"/>
      <c r="BN89" s="26"/>
      <c r="BO89" s="26"/>
      <c r="BP89" s="26"/>
      <c r="BQ89" s="26"/>
      <c r="BR89" s="26"/>
      <c r="BS89" s="26"/>
      <c r="BT89" s="26"/>
      <c r="BU89" s="26"/>
      <c r="BW89" s="1"/>
    </row>
    <row r="90" spans="12:75" ht="15.5" x14ac:dyDescent="0.35">
      <c r="L90" s="13"/>
      <c r="M90" s="26"/>
      <c r="N90" s="26"/>
      <c r="O90" s="26"/>
      <c r="P90" s="26"/>
      <c r="Q90" s="26"/>
      <c r="R90" s="26"/>
      <c r="S90" s="26"/>
      <c r="T90" s="26"/>
      <c r="U90" s="26"/>
      <c r="V90" s="26"/>
      <c r="W90" s="26"/>
      <c r="X90" s="26"/>
      <c r="Y90" s="26"/>
      <c r="Z90" s="26"/>
      <c r="AA90" s="26"/>
      <c r="AB90" s="26"/>
      <c r="AC90" s="26"/>
      <c r="AD90" s="26"/>
      <c r="AE90" s="26"/>
      <c r="AF90" s="68"/>
      <c r="AG90" s="75"/>
      <c r="AH90" s="75"/>
      <c r="AI90" s="26"/>
      <c r="AJ90" s="26"/>
      <c r="AK90" s="26"/>
      <c r="AL90" s="26"/>
      <c r="AM90" s="26"/>
      <c r="AN90" s="26"/>
      <c r="AO90" s="26"/>
      <c r="AP90" s="26"/>
      <c r="AQ90" s="26"/>
      <c r="AR90" s="26"/>
      <c r="AS90" s="68"/>
      <c r="AT90" s="75"/>
      <c r="AU90" s="75"/>
      <c r="AV90" s="26"/>
      <c r="AW90" s="26"/>
      <c r="AX90" s="26"/>
      <c r="AY90" s="26"/>
      <c r="AZ90" s="26"/>
      <c r="BA90" s="26"/>
      <c r="BB90" s="26"/>
      <c r="BC90" s="26"/>
      <c r="BD90" s="26"/>
      <c r="BE90" s="26"/>
      <c r="BF90" s="68"/>
      <c r="BG90" s="26"/>
      <c r="BH90" s="26"/>
      <c r="BI90" s="26"/>
      <c r="BJ90" s="26"/>
      <c r="BK90" s="26"/>
      <c r="BL90" s="26"/>
      <c r="BM90" s="26"/>
      <c r="BN90" s="26"/>
      <c r="BO90" s="26"/>
      <c r="BP90" s="26"/>
      <c r="BQ90" s="26"/>
      <c r="BR90" s="26"/>
      <c r="BS90" s="26"/>
      <c r="BT90" s="26"/>
      <c r="BU90" s="26"/>
      <c r="BW90" s="1" t="s">
        <v>261</v>
      </c>
    </row>
    <row r="91" spans="12:75" ht="15.5" x14ac:dyDescent="0.35">
      <c r="L91" s="13"/>
      <c r="M91" s="26"/>
      <c r="N91" s="26"/>
      <c r="O91" s="26"/>
      <c r="P91" s="26"/>
      <c r="Q91" s="26"/>
      <c r="R91" s="26"/>
      <c r="S91" s="26"/>
      <c r="T91" s="26"/>
      <c r="U91" s="26"/>
      <c r="V91" s="26"/>
      <c r="W91" s="26"/>
      <c r="X91" s="26"/>
      <c r="Y91" s="26"/>
      <c r="Z91" s="26"/>
      <c r="AA91" s="26"/>
      <c r="AB91" s="26"/>
      <c r="AC91" s="26"/>
      <c r="AD91" s="26"/>
      <c r="AE91" s="26"/>
      <c r="AF91" s="68"/>
      <c r="AG91" s="75"/>
      <c r="AH91" s="75"/>
      <c r="AI91" s="26"/>
      <c r="AJ91" s="26"/>
      <c r="AK91" s="26"/>
      <c r="AL91" s="26"/>
      <c r="AM91" s="26"/>
      <c r="AN91" s="26"/>
      <c r="AO91" s="26"/>
      <c r="AP91" s="26"/>
      <c r="AQ91" s="26"/>
      <c r="AR91" s="26"/>
      <c r="AS91" s="68"/>
      <c r="AT91" s="75"/>
      <c r="AU91" s="75"/>
      <c r="AV91" s="26"/>
      <c r="AW91" s="26"/>
      <c r="AX91" s="26"/>
      <c r="AY91" s="26"/>
      <c r="AZ91" s="26"/>
      <c r="BA91" s="26"/>
      <c r="BB91" s="26"/>
      <c r="BC91" s="26"/>
      <c r="BD91" s="26"/>
      <c r="BE91" s="26"/>
      <c r="BF91" s="68"/>
      <c r="BG91" s="26"/>
      <c r="BH91" s="26"/>
      <c r="BI91" s="26"/>
      <c r="BJ91" s="26"/>
      <c r="BK91" s="26"/>
      <c r="BL91" s="26"/>
      <c r="BM91" s="26"/>
      <c r="BN91" s="26"/>
      <c r="BO91" s="26"/>
      <c r="BP91" s="26"/>
      <c r="BQ91" s="26"/>
      <c r="BR91" s="26"/>
      <c r="BS91" s="26"/>
      <c r="BT91" s="26"/>
      <c r="BU91" s="26"/>
      <c r="BW91" s="1" t="s">
        <v>486</v>
      </c>
    </row>
    <row r="92" spans="12:75" ht="15.5" x14ac:dyDescent="0.35">
      <c r="L92" s="13"/>
      <c r="M92" s="26"/>
      <c r="N92" s="26"/>
      <c r="O92" s="26"/>
      <c r="P92" s="26"/>
      <c r="Q92" s="26"/>
      <c r="R92" s="26"/>
      <c r="S92" s="26"/>
      <c r="T92" s="26"/>
      <c r="U92" s="26"/>
      <c r="V92" s="26"/>
      <c r="W92" s="26"/>
      <c r="X92" s="26"/>
      <c r="Y92" s="26"/>
      <c r="Z92" s="26"/>
      <c r="AA92" s="26"/>
      <c r="AB92" s="26"/>
      <c r="AC92" s="26"/>
      <c r="AD92" s="26"/>
      <c r="AE92" s="26"/>
      <c r="AF92" s="68"/>
      <c r="AG92" s="75"/>
      <c r="AH92" s="75"/>
      <c r="AI92" s="26"/>
      <c r="AJ92" s="26"/>
      <c r="AK92" s="26"/>
      <c r="AL92" s="26"/>
      <c r="AM92" s="26"/>
      <c r="AN92" s="26"/>
      <c r="AO92" s="26"/>
      <c r="AP92" s="26"/>
      <c r="AQ92" s="26"/>
      <c r="AR92" s="26"/>
      <c r="AS92" s="68"/>
      <c r="AT92" s="75"/>
      <c r="AU92" s="75"/>
      <c r="AV92" s="26"/>
      <c r="AW92" s="26"/>
      <c r="AX92" s="26"/>
      <c r="AY92" s="26"/>
      <c r="AZ92" s="26"/>
      <c r="BA92" s="26"/>
      <c r="BB92" s="26"/>
      <c r="BC92" s="26"/>
      <c r="BD92" s="26"/>
      <c r="BE92" s="26"/>
      <c r="BF92" s="68"/>
      <c r="BG92" s="26"/>
      <c r="BH92" s="26"/>
      <c r="BI92" s="26"/>
      <c r="BJ92" s="26"/>
      <c r="BK92" s="26"/>
      <c r="BL92" s="26"/>
      <c r="BM92" s="26"/>
      <c r="BN92" s="26"/>
      <c r="BO92" s="26"/>
      <c r="BP92" s="26"/>
      <c r="BQ92" s="26"/>
      <c r="BR92" s="26"/>
      <c r="BS92" s="26"/>
      <c r="BT92" s="26"/>
      <c r="BU92" s="26"/>
      <c r="BW92" s="1" t="s">
        <v>487</v>
      </c>
    </row>
    <row r="93" spans="12:75" ht="15.5" x14ac:dyDescent="0.35">
      <c r="L93" s="13"/>
      <c r="M93" s="26"/>
      <c r="N93" s="26"/>
      <c r="O93" s="26"/>
      <c r="P93" s="26"/>
      <c r="Q93" s="26"/>
      <c r="R93" s="26"/>
      <c r="S93" s="26"/>
      <c r="T93" s="26"/>
      <c r="U93" s="26"/>
      <c r="V93" s="26"/>
      <c r="W93" s="26"/>
      <c r="X93" s="26"/>
      <c r="Y93" s="26"/>
      <c r="Z93" s="26"/>
      <c r="AA93" s="26"/>
      <c r="AB93" s="26"/>
      <c r="AC93" s="26"/>
      <c r="AD93" s="26"/>
      <c r="AE93" s="26"/>
      <c r="AF93" s="68"/>
      <c r="AG93" s="75"/>
      <c r="AH93" s="75"/>
      <c r="AI93" s="26"/>
      <c r="AJ93" s="26"/>
      <c r="AK93" s="26"/>
      <c r="AL93" s="26"/>
      <c r="AM93" s="26"/>
      <c r="AN93" s="26"/>
      <c r="AO93" s="26"/>
      <c r="AP93" s="26"/>
      <c r="AQ93" s="26"/>
      <c r="AR93" s="26"/>
      <c r="AS93" s="68"/>
      <c r="AT93" s="75"/>
      <c r="AU93" s="75"/>
      <c r="AV93" s="26"/>
      <c r="AW93" s="26"/>
      <c r="AX93" s="26"/>
      <c r="AY93" s="26"/>
      <c r="AZ93" s="26"/>
      <c r="BA93" s="26"/>
      <c r="BB93" s="26"/>
      <c r="BC93" s="26"/>
      <c r="BD93" s="26"/>
      <c r="BE93" s="26"/>
      <c r="BF93" s="68"/>
      <c r="BG93" s="26"/>
      <c r="BH93" s="26"/>
      <c r="BI93" s="26"/>
      <c r="BJ93" s="26"/>
      <c r="BK93" s="26"/>
      <c r="BL93" s="26"/>
      <c r="BM93" s="26"/>
      <c r="BN93" s="26"/>
      <c r="BO93" s="26"/>
      <c r="BP93" s="26"/>
      <c r="BQ93" s="26"/>
      <c r="BR93" s="26"/>
      <c r="BS93" s="26"/>
      <c r="BT93" s="26"/>
      <c r="BU93" s="26"/>
      <c r="BW93" s="1" t="s">
        <v>488</v>
      </c>
    </row>
    <row r="94" spans="12:75" ht="15.5" x14ac:dyDescent="0.35">
      <c r="L94" s="13"/>
      <c r="M94" s="26"/>
      <c r="N94" s="26"/>
      <c r="O94" s="26"/>
      <c r="P94" s="26"/>
      <c r="Q94" s="26"/>
      <c r="R94" s="26"/>
      <c r="S94" s="26"/>
      <c r="T94" s="26"/>
      <c r="U94" s="26"/>
      <c r="V94" s="26"/>
      <c r="W94" s="26"/>
      <c r="X94" s="26"/>
      <c r="Y94" s="26"/>
      <c r="Z94" s="26"/>
      <c r="AA94" s="26"/>
      <c r="AB94" s="26"/>
      <c r="AC94" s="26"/>
      <c r="AD94" s="26"/>
      <c r="AE94" s="26"/>
      <c r="AF94" s="68"/>
      <c r="AG94" s="75"/>
      <c r="AH94" s="75"/>
      <c r="AI94" s="26"/>
      <c r="AJ94" s="26"/>
      <c r="AK94" s="26"/>
      <c r="AL94" s="26"/>
      <c r="AM94" s="26"/>
      <c r="AN94" s="26"/>
      <c r="AO94" s="26"/>
      <c r="AP94" s="26"/>
      <c r="AQ94" s="26"/>
      <c r="AR94" s="26"/>
      <c r="AS94" s="68"/>
      <c r="AT94" s="75"/>
      <c r="AU94" s="75"/>
      <c r="AV94" s="26"/>
      <c r="AW94" s="26"/>
      <c r="AX94" s="26"/>
      <c r="AY94" s="26"/>
      <c r="AZ94" s="26"/>
      <c r="BA94" s="26"/>
      <c r="BB94" s="26"/>
      <c r="BC94" s="26"/>
      <c r="BD94" s="26"/>
      <c r="BE94" s="26"/>
      <c r="BF94" s="68"/>
      <c r="BG94" s="26"/>
      <c r="BH94" s="26"/>
      <c r="BI94" s="26"/>
      <c r="BJ94" s="26"/>
      <c r="BK94" s="26"/>
      <c r="BL94" s="26"/>
      <c r="BM94" s="26"/>
      <c r="BN94" s="26"/>
      <c r="BO94" s="26"/>
      <c r="BP94" s="26"/>
      <c r="BQ94" s="26"/>
      <c r="BR94" s="26"/>
      <c r="BS94" s="26"/>
      <c r="BT94" s="26"/>
      <c r="BU94" s="26"/>
      <c r="BW94" s="1"/>
    </row>
    <row r="95" spans="12:75" ht="15.5" x14ac:dyDescent="0.35">
      <c r="L95" s="13"/>
      <c r="M95" s="26"/>
      <c r="N95" s="26"/>
      <c r="O95" s="26"/>
      <c r="P95" s="26"/>
      <c r="Q95" s="26"/>
      <c r="R95" s="26"/>
      <c r="S95" s="26"/>
      <c r="T95" s="26"/>
      <c r="U95" s="26"/>
      <c r="V95" s="26"/>
      <c r="W95" s="26"/>
      <c r="X95" s="26"/>
      <c r="Y95" s="26"/>
      <c r="Z95" s="26"/>
      <c r="AA95" s="26"/>
      <c r="AB95" s="26"/>
      <c r="AC95" s="26"/>
      <c r="AD95" s="26"/>
      <c r="AE95" s="26"/>
      <c r="AF95" s="68"/>
      <c r="AG95" s="75"/>
      <c r="AH95" s="75"/>
      <c r="AI95" s="26"/>
      <c r="AJ95" s="26"/>
      <c r="AK95" s="26"/>
      <c r="AL95" s="26"/>
      <c r="AM95" s="26"/>
      <c r="AN95" s="26"/>
      <c r="AO95" s="26"/>
      <c r="AP95" s="26"/>
      <c r="AQ95" s="26"/>
      <c r="AR95" s="26"/>
      <c r="AS95" s="68"/>
      <c r="AT95" s="75"/>
      <c r="AU95" s="75"/>
      <c r="AV95" s="26"/>
      <c r="AW95" s="26"/>
      <c r="AX95" s="26"/>
      <c r="AY95" s="26"/>
      <c r="AZ95" s="26"/>
      <c r="BA95" s="26"/>
      <c r="BB95" s="26"/>
      <c r="BC95" s="26"/>
      <c r="BD95" s="26"/>
      <c r="BE95" s="26"/>
      <c r="BF95" s="68"/>
      <c r="BG95" s="26"/>
      <c r="BH95" s="26"/>
      <c r="BI95" s="26"/>
      <c r="BJ95" s="26"/>
      <c r="BK95" s="26"/>
      <c r="BL95" s="26"/>
      <c r="BM95" s="26"/>
      <c r="BN95" s="26"/>
      <c r="BO95" s="26"/>
      <c r="BP95" s="26"/>
      <c r="BQ95" s="26"/>
      <c r="BR95" s="26"/>
      <c r="BS95" s="26"/>
      <c r="BT95" s="26"/>
      <c r="BU95" s="26"/>
      <c r="BW95" s="1" t="s">
        <v>489</v>
      </c>
    </row>
    <row r="96" spans="12:75" ht="15.5" x14ac:dyDescent="0.35">
      <c r="L96" s="13"/>
      <c r="M96" s="26"/>
      <c r="N96" s="26"/>
      <c r="O96" s="26"/>
      <c r="P96" s="26"/>
      <c r="Q96" s="26"/>
      <c r="R96" s="26"/>
      <c r="S96" s="26"/>
      <c r="T96" s="26"/>
      <c r="U96" s="26"/>
      <c r="V96" s="26"/>
      <c r="W96" s="26"/>
      <c r="X96" s="26"/>
      <c r="Y96" s="26"/>
      <c r="Z96" s="26"/>
      <c r="AA96" s="26"/>
      <c r="AB96" s="26"/>
      <c r="AC96" s="26"/>
      <c r="AD96" s="26"/>
      <c r="AE96" s="26"/>
      <c r="AF96" s="68"/>
      <c r="AG96" s="75"/>
      <c r="AH96" s="75"/>
      <c r="AI96" s="26"/>
      <c r="AJ96" s="26"/>
      <c r="AK96" s="26"/>
      <c r="AL96" s="26"/>
      <c r="AM96" s="26"/>
      <c r="AN96" s="26"/>
      <c r="AO96" s="26"/>
      <c r="AP96" s="26"/>
      <c r="AQ96" s="26"/>
      <c r="AR96" s="26"/>
      <c r="AS96" s="68"/>
      <c r="AT96" s="75"/>
      <c r="AU96" s="75"/>
      <c r="AV96" s="26"/>
      <c r="AW96" s="26"/>
      <c r="AX96" s="26"/>
      <c r="AY96" s="26"/>
      <c r="AZ96" s="26"/>
      <c r="BA96" s="26"/>
      <c r="BB96" s="26"/>
      <c r="BC96" s="26"/>
      <c r="BD96" s="26"/>
      <c r="BE96" s="26"/>
      <c r="BF96" s="68"/>
      <c r="BG96" s="26"/>
      <c r="BH96" s="26"/>
      <c r="BI96" s="26"/>
      <c r="BJ96" s="26"/>
      <c r="BK96" s="26"/>
      <c r="BL96" s="26"/>
      <c r="BM96" s="26"/>
      <c r="BN96" s="26"/>
      <c r="BO96" s="26"/>
      <c r="BP96" s="26"/>
      <c r="BQ96" s="26"/>
      <c r="BR96" s="26"/>
      <c r="BS96" s="26"/>
      <c r="BT96" s="26"/>
      <c r="BU96" s="26"/>
      <c r="BW96" s="1" t="s">
        <v>490</v>
      </c>
    </row>
    <row r="97" spans="12:75" ht="15.5" x14ac:dyDescent="0.35">
      <c r="L97" s="13"/>
      <c r="M97" s="26"/>
      <c r="N97" s="26"/>
      <c r="O97" s="26"/>
      <c r="P97" s="26"/>
      <c r="Q97" s="26"/>
      <c r="R97" s="26"/>
      <c r="S97" s="26"/>
      <c r="T97" s="26"/>
      <c r="U97" s="26"/>
      <c r="V97" s="26"/>
      <c r="W97" s="26"/>
      <c r="X97" s="26"/>
      <c r="Y97" s="26"/>
      <c r="Z97" s="26"/>
      <c r="AA97" s="26"/>
      <c r="AB97" s="26"/>
      <c r="AC97" s="26"/>
      <c r="AD97" s="26"/>
      <c r="AE97" s="26"/>
      <c r="AF97" s="68"/>
      <c r="AG97" s="75"/>
      <c r="AH97" s="75"/>
      <c r="AI97" s="26"/>
      <c r="AJ97" s="26"/>
      <c r="AK97" s="26"/>
      <c r="AL97" s="26"/>
      <c r="AM97" s="26"/>
      <c r="AN97" s="26"/>
      <c r="AO97" s="26"/>
      <c r="AP97" s="26"/>
      <c r="AQ97" s="26"/>
      <c r="AR97" s="26"/>
      <c r="AS97" s="68"/>
      <c r="AT97" s="75"/>
      <c r="AU97" s="75"/>
      <c r="AV97" s="26"/>
      <c r="AW97" s="26"/>
      <c r="AX97" s="26"/>
      <c r="AY97" s="26"/>
      <c r="AZ97" s="26"/>
      <c r="BA97" s="26"/>
      <c r="BB97" s="26"/>
      <c r="BC97" s="26"/>
      <c r="BD97" s="26"/>
      <c r="BE97" s="26"/>
      <c r="BF97" s="68"/>
      <c r="BG97" s="26"/>
      <c r="BH97" s="26"/>
      <c r="BI97" s="26"/>
      <c r="BJ97" s="26"/>
      <c r="BK97" s="26"/>
      <c r="BL97" s="26"/>
      <c r="BM97" s="26"/>
      <c r="BN97" s="26"/>
      <c r="BO97" s="26"/>
      <c r="BP97" s="26"/>
      <c r="BQ97" s="26"/>
      <c r="BR97" s="26"/>
      <c r="BS97" s="26"/>
      <c r="BT97" s="26"/>
      <c r="BU97" s="26"/>
      <c r="BW97" s="1" t="s">
        <v>491</v>
      </c>
    </row>
    <row r="98" spans="12:75" ht="15.5" x14ac:dyDescent="0.35">
      <c r="L98" s="13"/>
      <c r="M98" s="26"/>
      <c r="N98" s="26"/>
      <c r="O98" s="26"/>
      <c r="P98" s="26"/>
      <c r="Q98" s="26"/>
      <c r="R98" s="26"/>
      <c r="S98" s="26"/>
      <c r="T98" s="26"/>
      <c r="U98" s="26"/>
      <c r="V98" s="26"/>
      <c r="W98" s="26"/>
      <c r="X98" s="26"/>
      <c r="Y98" s="26"/>
      <c r="Z98" s="26"/>
      <c r="AA98" s="26"/>
      <c r="AB98" s="26"/>
      <c r="AC98" s="26"/>
      <c r="AD98" s="26"/>
      <c r="AE98" s="26"/>
      <c r="AF98" s="68"/>
      <c r="AG98" s="75"/>
      <c r="AH98" s="75"/>
      <c r="AI98" s="26"/>
      <c r="AJ98" s="26"/>
      <c r="AK98" s="26"/>
      <c r="AL98" s="26"/>
      <c r="AM98" s="26"/>
      <c r="AN98" s="26"/>
      <c r="AO98" s="26"/>
      <c r="AP98" s="26"/>
      <c r="AQ98" s="26"/>
      <c r="AR98" s="26"/>
      <c r="AS98" s="68"/>
      <c r="AT98" s="75"/>
      <c r="AU98" s="75"/>
      <c r="AV98" s="26"/>
      <c r="AW98" s="26"/>
      <c r="AX98" s="26"/>
      <c r="AY98" s="26"/>
      <c r="AZ98" s="26"/>
      <c r="BA98" s="26"/>
      <c r="BB98" s="26"/>
      <c r="BC98" s="26"/>
      <c r="BD98" s="26"/>
      <c r="BE98" s="26"/>
      <c r="BF98" s="68"/>
      <c r="BG98" s="26"/>
      <c r="BH98" s="26"/>
      <c r="BI98" s="26"/>
      <c r="BJ98" s="26"/>
      <c r="BK98" s="26"/>
      <c r="BL98" s="26"/>
      <c r="BM98" s="26"/>
      <c r="BN98" s="26"/>
      <c r="BO98" s="26"/>
      <c r="BP98" s="26"/>
      <c r="BQ98" s="26"/>
      <c r="BR98" s="26"/>
      <c r="BS98" s="26"/>
      <c r="BT98" s="26"/>
      <c r="BU98" s="26"/>
      <c r="BW98" s="1" t="s">
        <v>492</v>
      </c>
    </row>
    <row r="99" spans="12:75" ht="15.5" x14ac:dyDescent="0.35">
      <c r="L99" s="13"/>
      <c r="M99" s="26"/>
      <c r="N99" s="26"/>
      <c r="O99" s="26"/>
      <c r="P99" s="26"/>
      <c r="Q99" s="26"/>
      <c r="R99" s="26"/>
      <c r="S99" s="26"/>
      <c r="T99" s="26"/>
      <c r="U99" s="26"/>
      <c r="V99" s="26"/>
      <c r="W99" s="26"/>
      <c r="X99" s="26"/>
      <c r="Y99" s="26"/>
      <c r="Z99" s="26"/>
      <c r="AA99" s="26"/>
      <c r="AB99" s="26"/>
      <c r="AC99" s="26"/>
      <c r="AD99" s="26"/>
      <c r="AE99" s="26"/>
      <c r="AF99" s="68"/>
      <c r="AG99" s="75"/>
      <c r="AH99" s="75"/>
      <c r="AI99" s="26"/>
      <c r="AJ99" s="26"/>
      <c r="AK99" s="26"/>
      <c r="AL99" s="26"/>
      <c r="AM99" s="26"/>
      <c r="AN99" s="26"/>
      <c r="AO99" s="26"/>
      <c r="AP99" s="26"/>
      <c r="AQ99" s="26"/>
      <c r="AR99" s="26"/>
      <c r="AS99" s="68"/>
      <c r="AT99" s="75"/>
      <c r="AU99" s="75"/>
      <c r="AV99" s="26"/>
      <c r="AW99" s="26"/>
      <c r="AX99" s="26"/>
      <c r="AY99" s="26"/>
      <c r="AZ99" s="26"/>
      <c r="BA99" s="26"/>
      <c r="BB99" s="26"/>
      <c r="BC99" s="26"/>
      <c r="BD99" s="26"/>
      <c r="BE99" s="26"/>
      <c r="BF99" s="68"/>
      <c r="BG99" s="26"/>
      <c r="BH99" s="26"/>
      <c r="BI99" s="26"/>
      <c r="BJ99" s="26"/>
      <c r="BK99" s="26"/>
      <c r="BL99" s="26"/>
      <c r="BM99" s="26"/>
      <c r="BN99" s="26"/>
      <c r="BO99" s="26"/>
      <c r="BP99" s="26"/>
      <c r="BQ99" s="26"/>
      <c r="BR99" s="26"/>
      <c r="BS99" s="26"/>
      <c r="BT99" s="26"/>
      <c r="BU99" s="26"/>
      <c r="BW99" s="1" t="s">
        <v>493</v>
      </c>
    </row>
    <row r="100" spans="12:75" ht="15.5" x14ac:dyDescent="0.35">
      <c r="L100" s="13"/>
      <c r="M100" s="26"/>
      <c r="N100" s="26"/>
      <c r="O100" s="26"/>
      <c r="P100" s="26"/>
      <c r="Q100" s="26"/>
      <c r="R100" s="26"/>
      <c r="S100" s="26"/>
      <c r="T100" s="26"/>
      <c r="U100" s="26"/>
      <c r="V100" s="26"/>
      <c r="W100" s="26"/>
      <c r="X100" s="26"/>
      <c r="Y100" s="26"/>
      <c r="Z100" s="26"/>
      <c r="AA100" s="26"/>
      <c r="AB100" s="26"/>
      <c r="AC100" s="26"/>
      <c r="AD100" s="26"/>
      <c r="AE100" s="26"/>
      <c r="AF100" s="68"/>
      <c r="AG100" s="75"/>
      <c r="AH100" s="75"/>
      <c r="AI100" s="26"/>
      <c r="AJ100" s="26"/>
      <c r="AK100" s="26"/>
      <c r="AL100" s="26"/>
      <c r="AM100" s="26"/>
      <c r="AN100" s="26"/>
      <c r="AO100" s="26"/>
      <c r="AP100" s="26"/>
      <c r="AQ100" s="26"/>
      <c r="AR100" s="26"/>
      <c r="AS100" s="68"/>
      <c r="AT100" s="75"/>
      <c r="AU100" s="75"/>
      <c r="AV100" s="26"/>
      <c r="AW100" s="26"/>
      <c r="AX100" s="26"/>
      <c r="AY100" s="26"/>
      <c r="AZ100" s="26"/>
      <c r="BA100" s="26"/>
      <c r="BB100" s="26"/>
      <c r="BC100" s="26"/>
      <c r="BD100" s="26"/>
      <c r="BE100" s="26"/>
      <c r="BF100" s="68"/>
      <c r="BG100" s="26"/>
      <c r="BH100" s="26"/>
      <c r="BI100" s="26"/>
      <c r="BJ100" s="26"/>
      <c r="BK100" s="26"/>
      <c r="BL100" s="26"/>
      <c r="BM100" s="26"/>
      <c r="BN100" s="26"/>
      <c r="BO100" s="26"/>
      <c r="BP100" s="26"/>
      <c r="BQ100" s="26"/>
      <c r="BR100" s="26"/>
      <c r="BS100" s="26"/>
      <c r="BT100" s="26"/>
      <c r="BU100" s="26"/>
      <c r="BW100" s="1" t="s">
        <v>494</v>
      </c>
    </row>
    <row r="101" spans="12:75" ht="15.5" x14ac:dyDescent="0.35">
      <c r="L101" s="13"/>
      <c r="M101" s="26"/>
      <c r="N101" s="26"/>
      <c r="O101" s="26"/>
      <c r="P101" s="26"/>
      <c r="Q101" s="26"/>
      <c r="R101" s="26"/>
      <c r="S101" s="26"/>
      <c r="T101" s="26"/>
      <c r="U101" s="26"/>
      <c r="V101" s="26"/>
      <c r="W101" s="26"/>
      <c r="X101" s="26"/>
      <c r="Y101" s="26"/>
      <c r="Z101" s="26"/>
      <c r="AA101" s="26"/>
      <c r="AB101" s="26"/>
      <c r="AC101" s="26"/>
      <c r="AD101" s="26"/>
      <c r="AE101" s="26"/>
      <c r="AF101" s="68"/>
      <c r="AG101" s="75"/>
      <c r="AH101" s="75"/>
      <c r="AI101" s="26"/>
      <c r="AJ101" s="26"/>
      <c r="AK101" s="26"/>
      <c r="AL101" s="26"/>
      <c r="AM101" s="26"/>
      <c r="AN101" s="26"/>
      <c r="AO101" s="26"/>
      <c r="AP101" s="26"/>
      <c r="AQ101" s="26"/>
      <c r="AR101" s="26"/>
      <c r="AS101" s="68"/>
      <c r="AT101" s="75"/>
      <c r="AU101" s="75"/>
      <c r="AV101" s="26"/>
      <c r="AW101" s="26"/>
      <c r="AX101" s="26"/>
      <c r="AY101" s="26"/>
      <c r="AZ101" s="26"/>
      <c r="BA101" s="26"/>
      <c r="BB101" s="26"/>
      <c r="BC101" s="26"/>
      <c r="BD101" s="26"/>
      <c r="BE101" s="26"/>
      <c r="BF101" s="68"/>
      <c r="BG101" s="26"/>
      <c r="BH101" s="26"/>
      <c r="BI101" s="26"/>
      <c r="BJ101" s="26"/>
      <c r="BK101" s="26"/>
      <c r="BL101" s="26"/>
      <c r="BM101" s="26"/>
      <c r="BN101" s="26"/>
      <c r="BO101" s="26"/>
      <c r="BP101" s="26"/>
      <c r="BQ101" s="26"/>
      <c r="BR101" s="26"/>
      <c r="BS101" s="26"/>
      <c r="BT101" s="26"/>
      <c r="BU101" s="26"/>
      <c r="BW101" s="1" t="s">
        <v>495</v>
      </c>
    </row>
    <row r="102" spans="12:75" ht="15.5" x14ac:dyDescent="0.35">
      <c r="L102" s="13"/>
      <c r="M102" s="26"/>
      <c r="N102" s="26"/>
      <c r="O102" s="26"/>
      <c r="P102" s="26"/>
      <c r="Q102" s="26"/>
      <c r="R102" s="26"/>
      <c r="S102" s="26"/>
      <c r="T102" s="26"/>
      <c r="U102" s="26"/>
      <c r="V102" s="26"/>
      <c r="W102" s="26"/>
      <c r="X102" s="26"/>
      <c r="Y102" s="26"/>
      <c r="Z102" s="26"/>
      <c r="AA102" s="26"/>
      <c r="AB102" s="26"/>
      <c r="AC102" s="26"/>
      <c r="AD102" s="26"/>
      <c r="AE102" s="26"/>
      <c r="AF102" s="68"/>
      <c r="AG102" s="75"/>
      <c r="AH102" s="75"/>
      <c r="AI102" s="26"/>
      <c r="AJ102" s="26"/>
      <c r="AK102" s="26"/>
      <c r="AL102" s="26"/>
      <c r="AM102" s="26"/>
      <c r="AN102" s="26"/>
      <c r="AO102" s="26"/>
      <c r="AP102" s="26"/>
      <c r="AQ102" s="26"/>
      <c r="AR102" s="26"/>
      <c r="AS102" s="68"/>
      <c r="AT102" s="75"/>
      <c r="AU102" s="75"/>
      <c r="AV102" s="26"/>
      <c r="AW102" s="26"/>
      <c r="AX102" s="26"/>
      <c r="AY102" s="26"/>
      <c r="AZ102" s="26"/>
      <c r="BA102" s="26"/>
      <c r="BB102" s="26"/>
      <c r="BC102" s="26"/>
      <c r="BD102" s="26"/>
      <c r="BE102" s="26"/>
      <c r="BF102" s="68"/>
      <c r="BG102" s="26"/>
      <c r="BH102" s="26"/>
      <c r="BI102" s="26"/>
      <c r="BJ102" s="26"/>
      <c r="BK102" s="26"/>
      <c r="BL102" s="26"/>
      <c r="BM102" s="26"/>
      <c r="BN102" s="26"/>
      <c r="BO102" s="26"/>
      <c r="BP102" s="26"/>
      <c r="BQ102" s="26"/>
      <c r="BR102" s="26"/>
      <c r="BS102" s="26"/>
      <c r="BT102" s="26"/>
      <c r="BU102" s="26"/>
      <c r="BW102" s="1" t="s">
        <v>496</v>
      </c>
    </row>
    <row r="103" spans="12:75" ht="15.5" x14ac:dyDescent="0.35">
      <c r="L103" s="13"/>
      <c r="M103" s="26"/>
      <c r="N103" s="26"/>
      <c r="O103" s="26"/>
      <c r="P103" s="26"/>
      <c r="Q103" s="26"/>
      <c r="R103" s="26"/>
      <c r="S103" s="26"/>
      <c r="T103" s="26"/>
      <c r="U103" s="26"/>
      <c r="V103" s="26"/>
      <c r="W103" s="26"/>
      <c r="X103" s="26"/>
      <c r="Y103" s="26"/>
      <c r="Z103" s="26"/>
      <c r="AA103" s="26"/>
      <c r="AB103" s="26"/>
      <c r="AC103" s="26"/>
      <c r="AD103" s="26"/>
      <c r="AE103" s="26"/>
      <c r="AF103" s="68"/>
      <c r="AG103" s="75"/>
      <c r="AH103" s="75"/>
      <c r="AI103" s="26"/>
      <c r="AJ103" s="26"/>
      <c r="AK103" s="26"/>
      <c r="AL103" s="26"/>
      <c r="AM103" s="26"/>
      <c r="AN103" s="26"/>
      <c r="AO103" s="26"/>
      <c r="AP103" s="26"/>
      <c r="AQ103" s="26"/>
      <c r="AR103" s="26"/>
      <c r="AS103" s="68"/>
      <c r="AT103" s="75"/>
      <c r="AU103" s="75"/>
      <c r="AV103" s="26"/>
      <c r="AW103" s="26"/>
      <c r="AX103" s="26"/>
      <c r="AY103" s="26"/>
      <c r="AZ103" s="26"/>
      <c r="BA103" s="26"/>
      <c r="BB103" s="26"/>
      <c r="BC103" s="26"/>
      <c r="BD103" s="26"/>
      <c r="BE103" s="26"/>
      <c r="BF103" s="68"/>
      <c r="BG103" s="26"/>
      <c r="BH103" s="26"/>
      <c r="BI103" s="26"/>
      <c r="BJ103" s="26"/>
      <c r="BK103" s="26"/>
      <c r="BL103" s="26"/>
      <c r="BM103" s="26"/>
      <c r="BN103" s="26"/>
      <c r="BO103" s="26"/>
      <c r="BP103" s="26"/>
      <c r="BQ103" s="26"/>
      <c r="BR103" s="26"/>
      <c r="BS103" s="26"/>
      <c r="BT103" s="26"/>
      <c r="BU103" s="26"/>
    </row>
    <row r="104" spans="12:75" ht="15.5" x14ac:dyDescent="0.35">
      <c r="L104" s="13"/>
      <c r="M104" s="26"/>
      <c r="N104" s="26"/>
      <c r="O104" s="26"/>
      <c r="P104" s="26"/>
      <c r="Q104" s="26"/>
      <c r="R104" s="26"/>
      <c r="S104" s="26"/>
      <c r="T104" s="26"/>
      <c r="U104" s="26"/>
      <c r="V104" s="26"/>
      <c r="W104" s="26"/>
      <c r="X104" s="26"/>
      <c r="Y104" s="26"/>
      <c r="Z104" s="26"/>
      <c r="AA104" s="26"/>
      <c r="AB104" s="26"/>
      <c r="AC104" s="26"/>
      <c r="AD104" s="26"/>
      <c r="AE104" s="26"/>
      <c r="AF104" s="68"/>
      <c r="AG104" s="75"/>
      <c r="AH104" s="75"/>
      <c r="AI104" s="26"/>
      <c r="AJ104" s="26"/>
      <c r="AK104" s="26"/>
      <c r="AL104" s="26"/>
      <c r="AM104" s="26"/>
      <c r="AN104" s="26"/>
      <c r="AO104" s="26"/>
      <c r="AP104" s="26"/>
      <c r="AQ104" s="26"/>
      <c r="AR104" s="26"/>
      <c r="AS104" s="68"/>
      <c r="AT104" s="75"/>
      <c r="AU104" s="75"/>
      <c r="AV104" s="26"/>
      <c r="AW104" s="26"/>
      <c r="AX104" s="26"/>
      <c r="AY104" s="26"/>
      <c r="AZ104" s="26"/>
      <c r="BA104" s="26"/>
      <c r="BB104" s="26"/>
      <c r="BC104" s="26"/>
      <c r="BD104" s="26"/>
      <c r="BE104" s="26"/>
      <c r="BF104" s="68"/>
      <c r="BG104" s="26"/>
      <c r="BH104" s="26"/>
      <c r="BI104" s="26"/>
      <c r="BJ104" s="26"/>
      <c r="BK104" s="26"/>
      <c r="BL104" s="26"/>
      <c r="BM104" s="26"/>
      <c r="BN104" s="26"/>
      <c r="BO104" s="26"/>
      <c r="BP104" s="26"/>
      <c r="BQ104" s="26"/>
      <c r="BR104" s="26"/>
      <c r="BS104" s="26"/>
      <c r="BT104" s="26"/>
      <c r="BU104" s="26"/>
      <c r="BW104" s="1" t="s">
        <v>497</v>
      </c>
    </row>
    <row r="105" spans="12:75" ht="15.5" x14ac:dyDescent="0.35">
      <c r="L105" s="13"/>
      <c r="M105" s="26"/>
      <c r="N105" s="26"/>
      <c r="O105" s="26"/>
      <c r="P105" s="26"/>
      <c r="Q105" s="26"/>
      <c r="R105" s="26"/>
      <c r="S105" s="26"/>
      <c r="T105" s="26"/>
      <c r="U105" s="26"/>
      <c r="V105" s="26"/>
      <c r="W105" s="26"/>
      <c r="X105" s="26"/>
      <c r="Y105" s="26"/>
      <c r="Z105" s="26"/>
      <c r="AA105" s="26"/>
      <c r="AB105" s="26"/>
      <c r="AC105" s="26"/>
      <c r="AD105" s="26"/>
      <c r="AE105" s="26"/>
      <c r="AF105" s="68"/>
      <c r="AG105" s="75"/>
      <c r="AH105" s="75"/>
      <c r="AI105" s="26"/>
      <c r="AJ105" s="26"/>
      <c r="AK105" s="26"/>
      <c r="AL105" s="26"/>
      <c r="AM105" s="26"/>
      <c r="AN105" s="26"/>
      <c r="AO105" s="26"/>
      <c r="AP105" s="26"/>
      <c r="AQ105" s="26"/>
      <c r="AR105" s="26"/>
      <c r="AS105" s="68"/>
      <c r="AT105" s="75"/>
      <c r="AU105" s="75"/>
      <c r="AV105" s="26"/>
      <c r="AW105" s="26"/>
      <c r="AX105" s="26"/>
      <c r="AY105" s="26"/>
      <c r="AZ105" s="26"/>
      <c r="BA105" s="26"/>
      <c r="BB105" s="26"/>
      <c r="BC105" s="26"/>
      <c r="BD105" s="26"/>
      <c r="BE105" s="26"/>
      <c r="BF105" s="68"/>
      <c r="BG105" s="26"/>
      <c r="BH105" s="26"/>
      <c r="BI105" s="26"/>
      <c r="BJ105" s="26"/>
      <c r="BK105" s="26"/>
      <c r="BL105" s="26"/>
      <c r="BM105" s="26"/>
      <c r="BN105" s="26"/>
      <c r="BO105" s="26"/>
      <c r="BP105" s="26"/>
      <c r="BQ105" s="26"/>
      <c r="BR105" s="26"/>
      <c r="BS105" s="26"/>
      <c r="BT105" s="26"/>
      <c r="BU105" s="26"/>
      <c r="BW105" s="1" t="s">
        <v>498</v>
      </c>
    </row>
    <row r="106" spans="12:75" x14ac:dyDescent="0.35">
      <c r="L106" s="26"/>
      <c r="M106" s="26"/>
      <c r="N106" s="26"/>
      <c r="O106" s="26"/>
      <c r="P106" s="26"/>
      <c r="Q106" s="26"/>
      <c r="R106" s="26"/>
      <c r="S106" s="26"/>
      <c r="T106" s="26"/>
      <c r="U106" s="26"/>
      <c r="V106" s="26"/>
      <c r="W106" s="26"/>
      <c r="X106" s="26"/>
      <c r="Y106" s="26"/>
      <c r="Z106" s="26"/>
      <c r="AA106" s="26"/>
      <c r="AB106" s="26"/>
      <c r="AC106" s="26"/>
      <c r="AD106" s="26"/>
      <c r="AE106" s="26"/>
      <c r="AF106" s="68"/>
      <c r="AG106" s="75"/>
      <c r="AH106" s="75"/>
      <c r="AI106" s="26"/>
      <c r="AJ106" s="26"/>
      <c r="AK106" s="26"/>
      <c r="AL106" s="26"/>
      <c r="AM106" s="26"/>
      <c r="AN106" s="26"/>
      <c r="AO106" s="26"/>
      <c r="AP106" s="26"/>
      <c r="AQ106" s="26"/>
      <c r="AR106" s="26"/>
      <c r="AS106" s="68"/>
      <c r="AT106" s="75"/>
      <c r="AU106" s="75"/>
      <c r="AV106" s="26"/>
      <c r="AW106" s="26"/>
      <c r="AX106" s="26"/>
      <c r="AY106" s="26"/>
      <c r="AZ106" s="26"/>
      <c r="BA106" s="26"/>
      <c r="BB106" s="26"/>
      <c r="BC106" s="26"/>
      <c r="BD106" s="26"/>
      <c r="BE106" s="26"/>
      <c r="BF106" s="68"/>
      <c r="BG106" s="26"/>
      <c r="BH106" s="26"/>
      <c r="BI106" s="26"/>
      <c r="BJ106" s="26"/>
      <c r="BK106" s="26"/>
      <c r="BL106" s="26"/>
      <c r="BM106" s="26"/>
      <c r="BN106" s="26"/>
      <c r="BO106" s="26"/>
      <c r="BP106" s="26"/>
      <c r="BQ106" s="26"/>
      <c r="BR106" s="26"/>
      <c r="BS106" s="26"/>
      <c r="BT106" s="26"/>
      <c r="BU106" s="26"/>
      <c r="BW106" s="1" t="s">
        <v>499</v>
      </c>
    </row>
    <row r="107" spans="12:75" x14ac:dyDescent="0.35">
      <c r="L107" s="26"/>
      <c r="M107" s="26"/>
      <c r="N107" s="26"/>
      <c r="O107" s="26"/>
      <c r="P107" s="26"/>
      <c r="Q107" s="26"/>
      <c r="R107" s="26"/>
      <c r="S107" s="26"/>
      <c r="T107" s="26"/>
      <c r="U107" s="26"/>
      <c r="V107" s="26"/>
      <c r="W107" s="26"/>
      <c r="X107" s="26"/>
      <c r="Y107" s="26"/>
      <c r="Z107" s="26"/>
      <c r="AA107" s="26"/>
      <c r="AB107" s="26"/>
      <c r="AC107" s="26"/>
      <c r="AD107" s="26"/>
      <c r="AE107" s="26"/>
      <c r="AF107" s="68"/>
      <c r="AG107" s="75"/>
      <c r="AH107" s="75"/>
      <c r="AI107" s="26"/>
      <c r="AJ107" s="26"/>
      <c r="AK107" s="26"/>
      <c r="AL107" s="26"/>
      <c r="AM107" s="26"/>
      <c r="AN107" s="26"/>
      <c r="AO107" s="26"/>
      <c r="AP107" s="26"/>
      <c r="AQ107" s="26"/>
      <c r="AR107" s="26"/>
      <c r="AS107" s="68"/>
      <c r="AT107" s="75"/>
      <c r="AU107" s="75"/>
      <c r="AV107" s="26"/>
      <c r="AW107" s="26"/>
      <c r="AX107" s="26"/>
      <c r="AY107" s="26"/>
      <c r="AZ107" s="26"/>
      <c r="BA107" s="26"/>
      <c r="BB107" s="26"/>
      <c r="BC107" s="26"/>
      <c r="BD107" s="26"/>
      <c r="BE107" s="26"/>
      <c r="BF107" s="68"/>
      <c r="BG107" s="26"/>
      <c r="BH107" s="26"/>
      <c r="BI107" s="26"/>
      <c r="BJ107" s="26"/>
      <c r="BK107" s="26"/>
      <c r="BL107" s="26"/>
      <c r="BM107" s="26"/>
      <c r="BN107" s="26"/>
      <c r="BO107" s="26"/>
      <c r="BP107" s="26"/>
      <c r="BQ107" s="26"/>
      <c r="BR107" s="26"/>
      <c r="BS107" s="26"/>
      <c r="BT107" s="26"/>
      <c r="BU107" s="26"/>
      <c r="BW107" s="1" t="s">
        <v>500</v>
      </c>
    </row>
    <row r="108" spans="12:75" x14ac:dyDescent="0.35">
      <c r="L108" s="26"/>
      <c r="M108" s="26"/>
      <c r="N108" s="26"/>
      <c r="O108" s="26"/>
      <c r="P108" s="26"/>
      <c r="Q108" s="26"/>
      <c r="R108" s="26"/>
      <c r="S108" s="26"/>
      <c r="T108" s="26"/>
      <c r="U108" s="26"/>
      <c r="V108" s="26"/>
      <c r="W108" s="26"/>
      <c r="X108" s="26"/>
      <c r="Y108" s="26"/>
      <c r="Z108" s="26"/>
      <c r="AA108" s="26"/>
      <c r="AB108" s="26"/>
      <c r="AC108" s="26"/>
      <c r="AD108" s="26"/>
      <c r="AE108" s="26"/>
      <c r="AF108" s="68"/>
      <c r="AG108" s="75"/>
      <c r="AH108" s="75"/>
      <c r="AI108" s="26"/>
      <c r="AJ108" s="26"/>
      <c r="AK108" s="26"/>
      <c r="AL108" s="26"/>
      <c r="AM108" s="26"/>
      <c r="AN108" s="26"/>
      <c r="AO108" s="26"/>
      <c r="AP108" s="26"/>
      <c r="AQ108" s="26"/>
      <c r="AR108" s="26"/>
      <c r="AS108" s="68"/>
      <c r="AT108" s="75"/>
      <c r="AU108" s="75"/>
      <c r="AV108" s="26"/>
      <c r="AW108" s="26"/>
      <c r="AX108" s="26"/>
      <c r="AY108" s="26"/>
      <c r="AZ108" s="26"/>
      <c r="BA108" s="26"/>
      <c r="BB108" s="26"/>
      <c r="BC108" s="26"/>
      <c r="BD108" s="26"/>
      <c r="BE108" s="26"/>
      <c r="BF108" s="68"/>
      <c r="BG108" s="26"/>
      <c r="BH108" s="26"/>
      <c r="BI108" s="26"/>
      <c r="BJ108" s="26"/>
      <c r="BK108" s="26"/>
      <c r="BL108" s="26"/>
      <c r="BM108" s="26"/>
      <c r="BN108" s="26"/>
      <c r="BO108" s="26"/>
      <c r="BP108" s="26"/>
      <c r="BQ108" s="26"/>
      <c r="BR108" s="26"/>
      <c r="BS108" s="26"/>
      <c r="BT108" s="26"/>
      <c r="BU108" s="26"/>
      <c r="BW108" s="1" t="s">
        <v>501</v>
      </c>
    </row>
    <row r="109" spans="12:75" x14ac:dyDescent="0.35">
      <c r="L109" s="26"/>
      <c r="M109" s="26"/>
      <c r="N109" s="26"/>
      <c r="O109" s="26"/>
      <c r="P109" s="26"/>
      <c r="Q109" s="26"/>
      <c r="R109" s="26"/>
      <c r="S109" s="26"/>
      <c r="T109" s="26"/>
      <c r="U109" s="26"/>
      <c r="V109" s="26"/>
      <c r="W109" s="26"/>
      <c r="X109" s="26"/>
      <c r="Y109" s="26"/>
      <c r="Z109" s="26"/>
      <c r="AA109" s="26"/>
      <c r="AB109" s="26"/>
      <c r="AC109" s="26"/>
      <c r="AD109" s="26"/>
      <c r="AE109" s="26"/>
      <c r="AF109" s="68"/>
      <c r="AG109" s="75"/>
      <c r="AH109" s="75"/>
      <c r="AI109" s="26"/>
      <c r="AJ109" s="26"/>
      <c r="AK109" s="26"/>
      <c r="AL109" s="26"/>
      <c r="AM109" s="26"/>
      <c r="AN109" s="26"/>
      <c r="AO109" s="26"/>
      <c r="AP109" s="26"/>
      <c r="AQ109" s="26"/>
      <c r="AR109" s="26"/>
      <c r="AS109" s="68"/>
      <c r="AT109" s="75"/>
      <c r="AU109" s="75"/>
      <c r="AV109" s="26"/>
      <c r="AW109" s="26"/>
      <c r="AX109" s="26"/>
      <c r="AY109" s="26"/>
      <c r="AZ109" s="26"/>
      <c r="BA109" s="26"/>
      <c r="BB109" s="26"/>
      <c r="BC109" s="26"/>
      <c r="BD109" s="26"/>
      <c r="BE109" s="26"/>
      <c r="BF109" s="68"/>
      <c r="BG109" s="26"/>
      <c r="BH109" s="26"/>
      <c r="BI109" s="26"/>
      <c r="BJ109" s="26"/>
      <c r="BK109" s="26"/>
      <c r="BL109" s="26"/>
      <c r="BM109" s="26"/>
      <c r="BN109" s="26"/>
      <c r="BO109" s="26"/>
      <c r="BP109" s="26"/>
      <c r="BQ109" s="26"/>
      <c r="BR109" s="26"/>
      <c r="BS109" s="26"/>
      <c r="BT109" s="26"/>
      <c r="BU109" s="26"/>
    </row>
    <row r="110" spans="12:75" x14ac:dyDescent="0.35">
      <c r="L110" s="26"/>
      <c r="M110" s="26"/>
      <c r="N110" s="26"/>
      <c r="O110" s="26"/>
      <c r="P110" s="26"/>
      <c r="Q110" s="26"/>
      <c r="R110" s="26"/>
      <c r="S110" s="26"/>
      <c r="T110" s="26"/>
      <c r="U110" s="26"/>
      <c r="V110" s="26"/>
      <c r="W110" s="26"/>
      <c r="X110" s="26"/>
      <c r="Y110" s="26"/>
      <c r="Z110" s="26"/>
      <c r="AA110" s="26"/>
      <c r="AB110" s="26"/>
      <c r="AC110" s="26"/>
      <c r="AD110" s="26"/>
      <c r="AE110" s="26"/>
      <c r="AF110" s="68"/>
      <c r="AG110" s="75"/>
      <c r="AH110" s="75"/>
      <c r="AI110" s="26"/>
      <c r="AJ110" s="26"/>
      <c r="AK110" s="26"/>
      <c r="AL110" s="26"/>
      <c r="AM110" s="26"/>
      <c r="AN110" s="26"/>
      <c r="AO110" s="26"/>
      <c r="AP110" s="26"/>
      <c r="AQ110" s="26"/>
      <c r="AR110" s="26"/>
      <c r="AS110" s="68"/>
      <c r="AT110" s="75"/>
      <c r="AU110" s="75"/>
      <c r="AV110" s="26"/>
      <c r="AW110" s="26"/>
      <c r="AX110" s="26"/>
      <c r="AY110" s="26"/>
      <c r="AZ110" s="26"/>
      <c r="BA110" s="26"/>
      <c r="BB110" s="26"/>
      <c r="BC110" s="26"/>
      <c r="BD110" s="26"/>
      <c r="BE110" s="26"/>
      <c r="BF110" s="68"/>
      <c r="BG110" s="26"/>
      <c r="BH110" s="26"/>
      <c r="BI110" s="26"/>
      <c r="BJ110" s="26"/>
      <c r="BK110" s="26"/>
      <c r="BL110" s="26"/>
      <c r="BM110" s="26"/>
      <c r="BN110" s="26"/>
      <c r="BO110" s="26"/>
      <c r="BP110" s="26"/>
      <c r="BQ110" s="26"/>
      <c r="BR110" s="26"/>
      <c r="BS110" s="26"/>
      <c r="BT110" s="26"/>
      <c r="BU110" s="26"/>
      <c r="BW110" s="1" t="s">
        <v>502</v>
      </c>
    </row>
    <row r="111" spans="12:75" x14ac:dyDescent="0.35">
      <c r="L111" s="26"/>
      <c r="M111" s="26"/>
      <c r="N111" s="26"/>
      <c r="O111" s="26"/>
      <c r="P111" s="26"/>
      <c r="Q111" s="26"/>
      <c r="R111" s="26"/>
      <c r="S111" s="26"/>
      <c r="T111" s="26"/>
      <c r="U111" s="26"/>
      <c r="V111" s="26"/>
      <c r="W111" s="26"/>
      <c r="X111" s="26"/>
      <c r="Y111" s="26"/>
      <c r="Z111" s="26"/>
      <c r="AA111" s="26"/>
      <c r="AB111" s="26"/>
      <c r="AC111" s="26"/>
      <c r="AD111" s="26"/>
      <c r="AE111" s="26"/>
      <c r="AF111" s="68"/>
      <c r="AG111" s="75"/>
      <c r="AH111" s="75"/>
      <c r="AI111" s="26"/>
      <c r="AJ111" s="26"/>
      <c r="AK111" s="26"/>
      <c r="AL111" s="26"/>
      <c r="AM111" s="26"/>
      <c r="AN111" s="26"/>
      <c r="AO111" s="26"/>
      <c r="AP111" s="26"/>
      <c r="AQ111" s="26"/>
      <c r="AR111" s="26"/>
      <c r="AS111" s="68"/>
      <c r="AT111" s="75"/>
      <c r="AU111" s="75"/>
      <c r="AV111" s="26"/>
      <c r="AW111" s="26"/>
      <c r="AX111" s="26"/>
      <c r="AY111" s="26"/>
      <c r="AZ111" s="26"/>
      <c r="BA111" s="26"/>
      <c r="BB111" s="26"/>
      <c r="BC111" s="26"/>
      <c r="BD111" s="26"/>
      <c r="BE111" s="26"/>
      <c r="BF111" s="68"/>
      <c r="BG111" s="26"/>
      <c r="BH111" s="26"/>
      <c r="BI111" s="26"/>
      <c r="BJ111" s="26"/>
      <c r="BK111" s="26"/>
      <c r="BL111" s="26"/>
      <c r="BM111" s="26"/>
      <c r="BN111" s="26"/>
      <c r="BO111" s="26"/>
      <c r="BP111" s="26"/>
      <c r="BQ111" s="26"/>
      <c r="BR111" s="26"/>
      <c r="BS111" s="26"/>
      <c r="BT111" s="26"/>
      <c r="BU111" s="26"/>
      <c r="BW111" s="1" t="s">
        <v>503</v>
      </c>
    </row>
    <row r="112" spans="12:75" x14ac:dyDescent="0.35">
      <c r="L112" s="26"/>
      <c r="M112" s="26"/>
      <c r="N112" s="26"/>
      <c r="O112" s="26"/>
      <c r="P112" s="26"/>
      <c r="Q112" s="26"/>
      <c r="R112" s="26"/>
      <c r="S112" s="26"/>
      <c r="T112" s="26"/>
      <c r="U112" s="26"/>
      <c r="V112" s="26"/>
      <c r="W112" s="26"/>
      <c r="X112" s="26"/>
      <c r="Y112" s="26"/>
      <c r="Z112" s="26"/>
      <c r="AA112" s="26"/>
      <c r="AB112" s="26"/>
      <c r="AC112" s="26"/>
      <c r="AD112" s="26"/>
      <c r="AE112" s="26"/>
      <c r="AF112" s="68"/>
      <c r="AG112" s="75"/>
      <c r="AH112" s="75"/>
      <c r="AI112" s="26"/>
      <c r="AJ112" s="26"/>
      <c r="AK112" s="26"/>
      <c r="AL112" s="26"/>
      <c r="AM112" s="26"/>
      <c r="AN112" s="26"/>
      <c r="AO112" s="26"/>
      <c r="AP112" s="26"/>
      <c r="AQ112" s="26"/>
      <c r="AR112" s="26"/>
      <c r="AS112" s="68"/>
      <c r="AT112" s="75"/>
      <c r="AU112" s="75"/>
      <c r="AV112" s="26"/>
      <c r="AW112" s="26"/>
      <c r="AX112" s="26"/>
      <c r="AY112" s="26"/>
      <c r="AZ112" s="26"/>
      <c r="BA112" s="26"/>
      <c r="BB112" s="26"/>
      <c r="BC112" s="26"/>
      <c r="BD112" s="26"/>
      <c r="BE112" s="26"/>
      <c r="BF112" s="68"/>
      <c r="BG112" s="26"/>
      <c r="BH112" s="26"/>
      <c r="BI112" s="26"/>
      <c r="BJ112" s="26"/>
      <c r="BK112" s="26"/>
      <c r="BL112" s="26"/>
      <c r="BM112" s="26"/>
      <c r="BN112" s="26"/>
      <c r="BO112" s="26"/>
      <c r="BP112" s="26"/>
      <c r="BQ112" s="26"/>
      <c r="BR112" s="26"/>
      <c r="BS112" s="26"/>
      <c r="BT112" s="26"/>
      <c r="BU112" s="26"/>
      <c r="BW112" s="1" t="s">
        <v>504</v>
      </c>
    </row>
    <row r="113" spans="12:75" x14ac:dyDescent="0.35">
      <c r="L113" s="26"/>
      <c r="M113" s="26"/>
      <c r="N113" s="26"/>
      <c r="O113" s="26"/>
      <c r="P113" s="26"/>
      <c r="Q113" s="26"/>
      <c r="R113" s="26"/>
      <c r="S113" s="26"/>
      <c r="T113" s="26"/>
      <c r="U113" s="26"/>
      <c r="V113" s="26"/>
      <c r="W113" s="26"/>
      <c r="X113" s="26"/>
      <c r="Y113" s="26"/>
      <c r="Z113" s="26"/>
      <c r="AA113" s="26"/>
      <c r="AB113" s="26"/>
      <c r="AC113" s="26"/>
      <c r="AD113" s="26"/>
      <c r="AE113" s="26"/>
      <c r="AF113" s="68"/>
      <c r="AG113" s="75"/>
      <c r="AH113" s="75"/>
      <c r="AI113" s="26"/>
      <c r="AJ113" s="26"/>
      <c r="AK113" s="26"/>
      <c r="AL113" s="26"/>
      <c r="AM113" s="26"/>
      <c r="AN113" s="26"/>
      <c r="AO113" s="26"/>
      <c r="AP113" s="26"/>
      <c r="AQ113" s="26"/>
      <c r="AR113" s="26"/>
      <c r="AS113" s="68"/>
      <c r="AT113" s="75"/>
      <c r="AU113" s="75"/>
      <c r="AV113" s="26"/>
      <c r="AW113" s="26"/>
      <c r="AX113" s="26"/>
      <c r="AY113" s="26"/>
      <c r="AZ113" s="26"/>
      <c r="BA113" s="26"/>
      <c r="BB113" s="26"/>
      <c r="BC113" s="26"/>
      <c r="BD113" s="26"/>
      <c r="BE113" s="26"/>
      <c r="BF113" s="68"/>
      <c r="BG113" s="26"/>
      <c r="BH113" s="26"/>
      <c r="BI113" s="26"/>
      <c r="BJ113" s="26"/>
      <c r="BK113" s="26"/>
      <c r="BL113" s="26"/>
      <c r="BM113" s="26"/>
      <c r="BN113" s="26"/>
      <c r="BO113" s="26"/>
      <c r="BP113" s="26"/>
      <c r="BQ113" s="26"/>
      <c r="BR113" s="26"/>
      <c r="BS113" s="26"/>
      <c r="BT113" s="26"/>
      <c r="BU113" s="26"/>
      <c r="BW113" s="1" t="s">
        <v>505</v>
      </c>
    </row>
    <row r="114" spans="12:75" x14ac:dyDescent="0.35">
      <c r="L114" s="26"/>
      <c r="M114" s="26"/>
      <c r="N114" s="26"/>
      <c r="O114" s="26"/>
      <c r="P114" s="26"/>
      <c r="Q114" s="26"/>
      <c r="R114" s="26"/>
      <c r="S114" s="26"/>
      <c r="T114" s="26"/>
      <c r="U114" s="26"/>
      <c r="V114" s="26"/>
      <c r="W114" s="26"/>
      <c r="X114" s="26"/>
      <c r="Y114" s="26"/>
      <c r="Z114" s="26"/>
      <c r="AA114" s="26"/>
      <c r="AB114" s="26"/>
      <c r="AC114" s="26"/>
      <c r="AD114" s="26"/>
      <c r="AE114" s="26"/>
      <c r="AF114" s="68"/>
      <c r="AG114" s="75"/>
      <c r="AH114" s="75"/>
      <c r="AI114" s="26"/>
      <c r="AJ114" s="26"/>
      <c r="AK114" s="26"/>
      <c r="AL114" s="26"/>
      <c r="AM114" s="26"/>
      <c r="AN114" s="26"/>
      <c r="AO114" s="26"/>
      <c r="AP114" s="26"/>
      <c r="AQ114" s="26"/>
      <c r="AR114" s="26"/>
      <c r="AS114" s="68"/>
      <c r="AT114" s="75"/>
      <c r="AU114" s="75"/>
      <c r="AV114" s="26"/>
      <c r="AW114" s="26"/>
      <c r="AX114" s="26"/>
      <c r="AY114" s="26"/>
      <c r="AZ114" s="26"/>
      <c r="BA114" s="26"/>
      <c r="BB114" s="26"/>
      <c r="BC114" s="26"/>
      <c r="BD114" s="26"/>
      <c r="BE114" s="26"/>
      <c r="BF114" s="68"/>
      <c r="BG114" s="26"/>
      <c r="BH114" s="26"/>
      <c r="BI114" s="26"/>
      <c r="BJ114" s="26"/>
      <c r="BK114" s="26"/>
      <c r="BL114" s="26"/>
      <c r="BM114" s="26"/>
      <c r="BN114" s="26"/>
      <c r="BO114" s="26"/>
      <c r="BP114" s="26"/>
      <c r="BQ114" s="26"/>
      <c r="BR114" s="26"/>
      <c r="BS114" s="26"/>
      <c r="BT114" s="26"/>
      <c r="BU114" s="26"/>
      <c r="BW114" s="1" t="s">
        <v>506</v>
      </c>
    </row>
    <row r="115" spans="12:75" x14ac:dyDescent="0.35">
      <c r="L115" s="26"/>
      <c r="M115" s="26"/>
      <c r="N115" s="26"/>
      <c r="O115" s="26"/>
      <c r="P115" s="26"/>
      <c r="Q115" s="26"/>
      <c r="R115" s="26"/>
      <c r="S115" s="26"/>
      <c r="T115" s="26"/>
      <c r="U115" s="26"/>
      <c r="V115" s="26"/>
      <c r="W115" s="26"/>
      <c r="X115" s="26"/>
      <c r="Y115" s="26"/>
      <c r="Z115" s="26"/>
      <c r="AA115" s="26"/>
      <c r="AB115" s="26"/>
      <c r="AC115" s="26"/>
      <c r="AD115" s="26"/>
      <c r="AE115" s="26"/>
      <c r="AF115" s="68"/>
      <c r="AG115" s="75"/>
      <c r="AH115" s="75"/>
      <c r="AI115" s="26"/>
      <c r="AJ115" s="26"/>
      <c r="AK115" s="26"/>
      <c r="AL115" s="26"/>
      <c r="AM115" s="26"/>
      <c r="AN115" s="26"/>
      <c r="AO115" s="26"/>
      <c r="AP115" s="26"/>
      <c r="AQ115" s="26"/>
      <c r="AR115" s="26"/>
      <c r="AS115" s="68"/>
      <c r="AT115" s="75"/>
      <c r="AU115" s="75"/>
      <c r="AV115" s="26"/>
      <c r="AW115" s="26"/>
      <c r="AX115" s="26"/>
      <c r="AY115" s="26"/>
      <c r="AZ115" s="26"/>
      <c r="BA115" s="26"/>
      <c r="BB115" s="26"/>
      <c r="BC115" s="26"/>
      <c r="BD115" s="26"/>
      <c r="BE115" s="26"/>
      <c r="BF115" s="68"/>
      <c r="BG115" s="26"/>
      <c r="BH115" s="26"/>
      <c r="BI115" s="26"/>
      <c r="BJ115" s="26"/>
      <c r="BK115" s="26"/>
      <c r="BL115" s="26"/>
      <c r="BM115" s="26"/>
      <c r="BN115" s="26"/>
      <c r="BO115" s="26"/>
      <c r="BP115" s="26"/>
      <c r="BQ115" s="26"/>
      <c r="BR115" s="26"/>
      <c r="BS115" s="26"/>
      <c r="BT115" s="26"/>
      <c r="BU115" s="26"/>
      <c r="BW115" s="1" t="s">
        <v>507</v>
      </c>
    </row>
    <row r="116" spans="12:75" x14ac:dyDescent="0.35">
      <c r="L116" s="26"/>
      <c r="M116" s="26"/>
      <c r="N116" s="26"/>
      <c r="O116" s="26"/>
      <c r="P116" s="26"/>
      <c r="Q116" s="26"/>
      <c r="R116" s="26"/>
      <c r="S116" s="26"/>
      <c r="T116" s="26"/>
      <c r="U116" s="26"/>
      <c r="V116" s="26"/>
      <c r="W116" s="26"/>
      <c r="X116" s="26"/>
      <c r="Y116" s="26"/>
      <c r="Z116" s="26"/>
      <c r="AA116" s="26"/>
      <c r="AB116" s="26"/>
      <c r="AC116" s="26"/>
      <c r="AD116" s="26"/>
      <c r="AE116" s="26"/>
      <c r="AF116" s="68"/>
      <c r="AG116" s="75"/>
      <c r="AH116" s="75"/>
      <c r="AI116" s="26"/>
      <c r="AJ116" s="26"/>
      <c r="AK116" s="26"/>
      <c r="AL116" s="26"/>
      <c r="AM116" s="26"/>
      <c r="AN116" s="26"/>
      <c r="AO116" s="26"/>
      <c r="AP116" s="26"/>
      <c r="AQ116" s="26"/>
      <c r="AR116" s="26"/>
      <c r="AS116" s="68"/>
      <c r="AT116" s="75"/>
      <c r="AU116" s="75"/>
      <c r="AV116" s="26"/>
      <c r="AW116" s="26"/>
      <c r="AX116" s="26"/>
      <c r="AY116" s="26"/>
      <c r="AZ116" s="26"/>
      <c r="BA116" s="26"/>
      <c r="BB116" s="26"/>
      <c r="BC116" s="26"/>
      <c r="BD116" s="26"/>
      <c r="BE116" s="26"/>
      <c r="BF116" s="68"/>
      <c r="BG116" s="26"/>
      <c r="BH116" s="26"/>
      <c r="BI116" s="26"/>
      <c r="BJ116" s="26"/>
      <c r="BK116" s="26"/>
      <c r="BL116" s="26"/>
      <c r="BM116" s="26"/>
      <c r="BN116" s="26"/>
      <c r="BO116" s="26"/>
      <c r="BP116" s="26"/>
      <c r="BQ116" s="26"/>
      <c r="BR116" s="26"/>
      <c r="BS116" s="26"/>
      <c r="BT116" s="26"/>
      <c r="BU116" s="26"/>
      <c r="BW116" s="1" t="s">
        <v>508</v>
      </c>
    </row>
    <row r="117" spans="12:75" x14ac:dyDescent="0.35">
      <c r="L117" s="26"/>
      <c r="M117" s="26"/>
      <c r="N117" s="26"/>
      <c r="O117" s="26"/>
      <c r="P117" s="26"/>
      <c r="Q117" s="26"/>
      <c r="R117" s="26"/>
      <c r="S117" s="26"/>
      <c r="T117" s="26"/>
      <c r="U117" s="26"/>
      <c r="V117" s="26"/>
      <c r="W117" s="26"/>
      <c r="X117" s="26"/>
      <c r="Y117" s="26"/>
      <c r="Z117" s="26"/>
      <c r="AA117" s="26"/>
      <c r="AB117" s="26"/>
      <c r="AC117" s="26"/>
      <c r="AD117" s="26"/>
      <c r="AE117" s="26"/>
      <c r="AF117" s="68"/>
      <c r="AG117" s="75"/>
      <c r="AH117" s="75"/>
      <c r="AI117" s="26"/>
      <c r="AJ117" s="26"/>
      <c r="AK117" s="26"/>
      <c r="AL117" s="26"/>
      <c r="AM117" s="26"/>
      <c r="AN117" s="26"/>
      <c r="AO117" s="26"/>
      <c r="AP117" s="26"/>
      <c r="AQ117" s="26"/>
      <c r="AR117" s="26"/>
      <c r="AS117" s="68"/>
      <c r="AT117" s="75"/>
      <c r="AU117" s="75"/>
      <c r="AV117" s="26"/>
      <c r="AW117" s="26"/>
      <c r="AX117" s="26"/>
      <c r="AY117" s="26"/>
      <c r="AZ117" s="26"/>
      <c r="BA117" s="26"/>
      <c r="BB117" s="26"/>
      <c r="BC117" s="26"/>
      <c r="BD117" s="26"/>
      <c r="BE117" s="26"/>
      <c r="BF117" s="68"/>
      <c r="BG117" s="26"/>
      <c r="BH117" s="26"/>
      <c r="BI117" s="26"/>
      <c r="BJ117" s="26"/>
      <c r="BK117" s="26"/>
      <c r="BL117" s="26"/>
      <c r="BM117" s="26"/>
      <c r="BN117" s="26"/>
      <c r="BO117" s="26"/>
      <c r="BP117" s="26"/>
      <c r="BQ117" s="26"/>
      <c r="BR117" s="26"/>
      <c r="BS117" s="26"/>
      <c r="BT117" s="26"/>
      <c r="BU117" s="26"/>
      <c r="BW117" s="1" t="s">
        <v>509</v>
      </c>
    </row>
    <row r="118" spans="12:75" x14ac:dyDescent="0.35">
      <c r="L118" s="26"/>
      <c r="M118" s="26"/>
      <c r="N118" s="26"/>
      <c r="O118" s="26"/>
      <c r="P118" s="26"/>
      <c r="Q118" s="26"/>
      <c r="R118" s="26"/>
      <c r="S118" s="26"/>
      <c r="T118" s="26"/>
      <c r="U118" s="26"/>
      <c r="V118" s="26"/>
      <c r="W118" s="26"/>
      <c r="X118" s="26"/>
      <c r="Y118" s="26"/>
      <c r="Z118" s="26"/>
      <c r="AA118" s="26"/>
      <c r="AB118" s="26"/>
      <c r="AC118" s="26"/>
      <c r="AD118" s="26"/>
      <c r="AE118" s="26"/>
      <c r="AF118" s="68"/>
      <c r="AG118" s="75"/>
      <c r="AH118" s="75"/>
      <c r="AI118" s="26"/>
      <c r="AJ118" s="26"/>
      <c r="AK118" s="26"/>
      <c r="AL118" s="26"/>
      <c r="AM118" s="26"/>
      <c r="AN118" s="26"/>
      <c r="AO118" s="26"/>
      <c r="AP118" s="26"/>
      <c r="AQ118" s="26"/>
      <c r="AR118" s="26"/>
      <c r="AS118" s="68"/>
      <c r="AT118" s="75"/>
      <c r="AU118" s="75"/>
      <c r="AV118" s="26"/>
      <c r="AW118" s="26"/>
      <c r="AX118" s="26"/>
      <c r="AY118" s="26"/>
      <c r="AZ118" s="26"/>
      <c r="BA118" s="26"/>
      <c r="BB118" s="26"/>
      <c r="BC118" s="26"/>
      <c r="BD118" s="26"/>
      <c r="BE118" s="26"/>
      <c r="BF118" s="68"/>
      <c r="BG118" s="26"/>
      <c r="BH118" s="26"/>
      <c r="BI118" s="26"/>
      <c r="BJ118" s="26"/>
      <c r="BK118" s="26"/>
      <c r="BL118" s="26"/>
      <c r="BM118" s="26"/>
      <c r="BN118" s="26"/>
      <c r="BO118" s="26"/>
      <c r="BP118" s="26"/>
      <c r="BQ118" s="26"/>
      <c r="BR118" s="26"/>
      <c r="BS118" s="26"/>
      <c r="BT118" s="26"/>
      <c r="BU118" s="26"/>
      <c r="BW118" s="1" t="s">
        <v>510</v>
      </c>
    </row>
    <row r="119" spans="12:75" x14ac:dyDescent="0.35">
      <c r="L119" s="26"/>
      <c r="M119" s="26"/>
      <c r="N119" s="26"/>
      <c r="O119" s="26"/>
      <c r="P119" s="26"/>
      <c r="Q119" s="26"/>
      <c r="R119" s="26"/>
      <c r="S119" s="26"/>
      <c r="T119" s="26"/>
      <c r="U119" s="26"/>
      <c r="V119" s="26"/>
      <c r="W119" s="26"/>
      <c r="X119" s="26"/>
      <c r="Y119" s="26"/>
      <c r="Z119" s="26"/>
      <c r="AA119" s="26"/>
      <c r="AB119" s="26"/>
      <c r="AC119" s="26"/>
      <c r="AD119" s="26"/>
      <c r="AE119" s="26"/>
      <c r="AF119" s="68"/>
      <c r="AG119" s="75"/>
      <c r="AH119" s="75"/>
      <c r="AI119" s="26"/>
      <c r="AJ119" s="26"/>
      <c r="AK119" s="26"/>
      <c r="AL119" s="26"/>
      <c r="AM119" s="26"/>
      <c r="AN119" s="26"/>
      <c r="AO119" s="26"/>
      <c r="AP119" s="26"/>
      <c r="AQ119" s="26"/>
      <c r="AR119" s="26"/>
      <c r="AS119" s="68"/>
      <c r="AT119" s="75"/>
      <c r="AU119" s="75"/>
      <c r="AV119" s="26"/>
      <c r="AW119" s="26"/>
      <c r="AX119" s="26"/>
      <c r="AY119" s="26"/>
      <c r="AZ119" s="26"/>
      <c r="BA119" s="26"/>
      <c r="BB119" s="26"/>
      <c r="BC119" s="26"/>
      <c r="BD119" s="26"/>
      <c r="BE119" s="26"/>
      <c r="BF119" s="68"/>
      <c r="BG119" s="26"/>
      <c r="BH119" s="26"/>
      <c r="BI119" s="26"/>
      <c r="BJ119" s="26"/>
      <c r="BK119" s="26"/>
      <c r="BL119" s="26"/>
      <c r="BM119" s="26"/>
      <c r="BN119" s="26"/>
      <c r="BO119" s="26"/>
      <c r="BP119" s="26"/>
      <c r="BQ119" s="26"/>
      <c r="BR119" s="26"/>
      <c r="BS119" s="26"/>
      <c r="BT119" s="26"/>
      <c r="BU119" s="26"/>
      <c r="BW119" s="1" t="s">
        <v>511</v>
      </c>
    </row>
    <row r="120" spans="12:75" x14ac:dyDescent="0.35">
      <c r="L120" s="26"/>
      <c r="M120" s="26"/>
      <c r="N120" s="26"/>
      <c r="O120" s="26"/>
      <c r="P120" s="26"/>
      <c r="Q120" s="26"/>
      <c r="R120" s="26"/>
      <c r="S120" s="26"/>
      <c r="T120" s="26"/>
      <c r="U120" s="26"/>
      <c r="V120" s="26"/>
      <c r="W120" s="26"/>
      <c r="X120" s="26"/>
      <c r="Y120" s="26"/>
      <c r="Z120" s="26"/>
      <c r="AA120" s="26"/>
      <c r="AB120" s="26"/>
      <c r="AC120" s="26"/>
      <c r="AD120" s="26"/>
      <c r="AE120" s="26"/>
      <c r="AF120" s="68"/>
      <c r="AG120" s="75"/>
      <c r="AH120" s="75"/>
      <c r="AI120" s="26"/>
      <c r="AJ120" s="26"/>
      <c r="AK120" s="26"/>
      <c r="AL120" s="26"/>
      <c r="AM120" s="26"/>
      <c r="AN120" s="26"/>
      <c r="AO120" s="26"/>
      <c r="AP120" s="26"/>
      <c r="AQ120" s="26"/>
      <c r="AR120" s="26"/>
      <c r="AS120" s="68"/>
      <c r="AT120" s="75"/>
      <c r="AU120" s="75"/>
      <c r="AV120" s="26"/>
      <c r="AW120" s="26"/>
      <c r="AX120" s="26"/>
      <c r="AY120" s="26"/>
      <c r="AZ120" s="26"/>
      <c r="BA120" s="26"/>
      <c r="BB120" s="26"/>
      <c r="BC120" s="26"/>
      <c r="BD120" s="26"/>
      <c r="BE120" s="26"/>
      <c r="BF120" s="68"/>
      <c r="BG120" s="26"/>
      <c r="BH120" s="26"/>
      <c r="BI120" s="26"/>
      <c r="BJ120" s="26"/>
      <c r="BK120" s="26"/>
      <c r="BL120" s="26"/>
      <c r="BM120" s="26"/>
      <c r="BN120" s="26"/>
      <c r="BO120" s="26"/>
      <c r="BP120" s="26"/>
      <c r="BQ120" s="26"/>
      <c r="BR120" s="26"/>
      <c r="BS120" s="26"/>
      <c r="BT120" s="26"/>
      <c r="BU120" s="26"/>
      <c r="BW120" s="1" t="s">
        <v>512</v>
      </c>
    </row>
    <row r="121" spans="12:75" x14ac:dyDescent="0.35">
      <c r="L121" s="26"/>
      <c r="M121" s="26"/>
      <c r="N121" s="26"/>
      <c r="O121" s="26"/>
      <c r="P121" s="26"/>
      <c r="Q121" s="26"/>
      <c r="R121" s="26"/>
      <c r="S121" s="26"/>
      <c r="T121" s="26"/>
      <c r="U121" s="26"/>
      <c r="V121" s="26"/>
      <c r="W121" s="26"/>
      <c r="X121" s="26"/>
      <c r="Y121" s="26"/>
      <c r="Z121" s="26"/>
      <c r="AA121" s="26"/>
      <c r="AB121" s="26"/>
      <c r="AC121" s="26"/>
      <c r="AD121" s="26"/>
      <c r="AE121" s="26"/>
      <c r="AF121" s="68"/>
      <c r="AG121" s="75"/>
      <c r="AH121" s="75"/>
      <c r="AI121" s="26"/>
      <c r="AJ121" s="26"/>
      <c r="AK121" s="26"/>
      <c r="AL121" s="26"/>
      <c r="AM121" s="26"/>
      <c r="AN121" s="26"/>
      <c r="AO121" s="26"/>
      <c r="AP121" s="26"/>
      <c r="AQ121" s="26"/>
      <c r="AR121" s="26"/>
      <c r="AS121" s="68"/>
      <c r="AT121" s="75"/>
      <c r="AU121" s="75"/>
      <c r="AV121" s="26"/>
      <c r="AW121" s="26"/>
      <c r="AX121" s="26"/>
      <c r="AY121" s="26"/>
      <c r="AZ121" s="26"/>
      <c r="BA121" s="26"/>
      <c r="BB121" s="26"/>
      <c r="BC121" s="26"/>
      <c r="BD121" s="26"/>
      <c r="BE121" s="26"/>
      <c r="BF121" s="68"/>
      <c r="BG121" s="26"/>
      <c r="BH121" s="26"/>
      <c r="BI121" s="26"/>
      <c r="BJ121" s="26"/>
      <c r="BK121" s="26"/>
      <c r="BL121" s="26"/>
      <c r="BM121" s="26"/>
      <c r="BN121" s="26"/>
      <c r="BO121" s="26"/>
      <c r="BP121" s="26"/>
      <c r="BQ121" s="26"/>
      <c r="BR121" s="26"/>
      <c r="BS121" s="26"/>
      <c r="BT121" s="26"/>
      <c r="BU121" s="26"/>
      <c r="BW121" s="1" t="s">
        <v>513</v>
      </c>
    </row>
    <row r="122" spans="12:75" x14ac:dyDescent="0.35">
      <c r="L122" s="26"/>
      <c r="M122" s="26"/>
      <c r="N122" s="26"/>
      <c r="O122" s="26"/>
      <c r="P122" s="26"/>
      <c r="Q122" s="26"/>
      <c r="R122" s="26"/>
      <c r="S122" s="26"/>
      <c r="T122" s="26"/>
      <c r="U122" s="26"/>
      <c r="V122" s="26"/>
      <c r="W122" s="26"/>
      <c r="X122" s="26"/>
      <c r="Y122" s="26"/>
      <c r="Z122" s="26"/>
      <c r="AA122" s="26"/>
      <c r="AB122" s="26"/>
      <c r="AC122" s="26"/>
      <c r="AD122" s="26"/>
      <c r="AE122" s="26"/>
      <c r="AF122" s="68"/>
      <c r="AG122" s="75"/>
      <c r="AH122" s="75"/>
      <c r="AI122" s="26"/>
      <c r="AJ122" s="26"/>
      <c r="AK122" s="26"/>
      <c r="AL122" s="26"/>
      <c r="AM122" s="26"/>
      <c r="AN122" s="26"/>
      <c r="AO122" s="26"/>
      <c r="AP122" s="26"/>
      <c r="AQ122" s="26"/>
      <c r="AR122" s="26"/>
      <c r="AS122" s="68"/>
      <c r="AT122" s="75"/>
      <c r="AU122" s="75"/>
      <c r="AV122" s="26"/>
      <c r="AW122" s="26"/>
      <c r="AX122" s="26"/>
      <c r="AY122" s="26"/>
      <c r="AZ122" s="26"/>
      <c r="BA122" s="26"/>
      <c r="BB122" s="26"/>
      <c r="BC122" s="26"/>
      <c r="BD122" s="26"/>
      <c r="BE122" s="26"/>
      <c r="BF122" s="68"/>
      <c r="BG122" s="26"/>
      <c r="BH122" s="26"/>
      <c r="BI122" s="26"/>
      <c r="BJ122" s="26"/>
      <c r="BK122" s="26"/>
      <c r="BL122" s="26"/>
      <c r="BM122" s="26"/>
      <c r="BN122" s="26"/>
      <c r="BO122" s="26"/>
      <c r="BP122" s="26"/>
      <c r="BQ122" s="26"/>
      <c r="BR122" s="26"/>
      <c r="BS122" s="26"/>
      <c r="BT122" s="26"/>
      <c r="BU122" s="26"/>
      <c r="BW122" s="1" t="s">
        <v>514</v>
      </c>
    </row>
    <row r="123" spans="12:75" x14ac:dyDescent="0.35">
      <c r="L123" s="26"/>
      <c r="M123" s="26"/>
      <c r="N123" s="26"/>
      <c r="O123" s="26"/>
      <c r="P123" s="26"/>
      <c r="Q123" s="26"/>
      <c r="R123" s="26"/>
      <c r="S123" s="26"/>
      <c r="T123" s="26"/>
      <c r="U123" s="26"/>
      <c r="V123" s="26"/>
      <c r="W123" s="26"/>
      <c r="X123" s="26"/>
      <c r="Y123" s="26"/>
      <c r="Z123" s="26"/>
      <c r="AA123" s="26"/>
      <c r="AB123" s="26"/>
      <c r="AC123" s="26"/>
      <c r="AD123" s="26"/>
      <c r="AE123" s="26"/>
      <c r="AF123" s="68"/>
      <c r="AG123" s="75"/>
      <c r="AH123" s="75"/>
      <c r="AI123" s="26"/>
      <c r="AJ123" s="26"/>
      <c r="AK123" s="26"/>
      <c r="AL123" s="26"/>
      <c r="AM123" s="26"/>
      <c r="AN123" s="26"/>
      <c r="AO123" s="26"/>
      <c r="AP123" s="26"/>
      <c r="AQ123" s="26"/>
      <c r="AR123" s="26"/>
      <c r="AS123" s="68"/>
      <c r="AT123" s="75"/>
      <c r="AU123" s="75"/>
      <c r="AV123" s="26"/>
      <c r="AW123" s="26"/>
      <c r="AX123" s="26"/>
      <c r="AY123" s="26"/>
      <c r="AZ123" s="26"/>
      <c r="BA123" s="26"/>
      <c r="BB123" s="26"/>
      <c r="BC123" s="26"/>
      <c r="BD123" s="26"/>
      <c r="BE123" s="26"/>
      <c r="BF123" s="68"/>
      <c r="BG123" s="26"/>
      <c r="BH123" s="26"/>
      <c r="BI123" s="26"/>
      <c r="BJ123" s="26"/>
      <c r="BK123" s="26"/>
      <c r="BL123" s="26"/>
      <c r="BM123" s="26"/>
      <c r="BN123" s="26"/>
      <c r="BO123" s="26"/>
      <c r="BP123" s="26"/>
      <c r="BQ123" s="26"/>
      <c r="BR123" s="26"/>
      <c r="BS123" s="26"/>
      <c r="BT123" s="26"/>
      <c r="BU123" s="26"/>
      <c r="BW123" s="1" t="s">
        <v>515</v>
      </c>
    </row>
    <row r="124" spans="12:75" x14ac:dyDescent="0.35">
      <c r="L124" s="26"/>
      <c r="M124" s="26"/>
      <c r="N124" s="26"/>
      <c r="O124" s="26"/>
      <c r="P124" s="26"/>
      <c r="Q124" s="26"/>
      <c r="R124" s="26"/>
      <c r="S124" s="26"/>
      <c r="T124" s="26"/>
      <c r="U124" s="26"/>
      <c r="V124" s="26"/>
      <c r="W124" s="26"/>
      <c r="X124" s="26"/>
      <c r="Y124" s="26"/>
      <c r="Z124" s="26"/>
      <c r="AA124" s="26"/>
      <c r="AB124" s="26"/>
      <c r="AC124" s="26"/>
      <c r="AD124" s="26"/>
      <c r="AE124" s="26"/>
      <c r="AF124" s="68"/>
      <c r="AG124" s="75"/>
      <c r="AH124" s="75"/>
      <c r="AI124" s="26"/>
      <c r="AJ124" s="26"/>
      <c r="AK124" s="26"/>
      <c r="AL124" s="26"/>
      <c r="AM124" s="26"/>
      <c r="AN124" s="26"/>
      <c r="AO124" s="26"/>
      <c r="AP124" s="26"/>
      <c r="AQ124" s="26"/>
      <c r="AR124" s="26"/>
      <c r="AS124" s="68"/>
      <c r="AT124" s="75"/>
      <c r="AU124" s="75"/>
      <c r="AV124" s="26"/>
      <c r="AW124" s="26"/>
      <c r="AX124" s="26"/>
      <c r="AY124" s="26"/>
      <c r="AZ124" s="26"/>
      <c r="BA124" s="26"/>
      <c r="BB124" s="26"/>
      <c r="BC124" s="26"/>
      <c r="BD124" s="26"/>
      <c r="BE124" s="26"/>
      <c r="BF124" s="68"/>
      <c r="BG124" s="26"/>
      <c r="BH124" s="26"/>
      <c r="BI124" s="26"/>
      <c r="BJ124" s="26"/>
      <c r="BK124" s="26"/>
      <c r="BL124" s="26"/>
      <c r="BM124" s="26"/>
      <c r="BN124" s="26"/>
      <c r="BO124" s="26"/>
      <c r="BP124" s="26"/>
      <c r="BQ124" s="26"/>
      <c r="BR124" s="26"/>
      <c r="BS124" s="26"/>
      <c r="BT124" s="26"/>
      <c r="BU124" s="26"/>
      <c r="BW124" s="1" t="s">
        <v>516</v>
      </c>
    </row>
    <row r="125" spans="12:75" x14ac:dyDescent="0.35">
      <c r="L125" s="26"/>
      <c r="M125" s="26"/>
      <c r="N125" s="26"/>
      <c r="O125" s="26"/>
      <c r="P125" s="26"/>
      <c r="Q125" s="26"/>
      <c r="R125" s="26"/>
      <c r="S125" s="26"/>
      <c r="T125" s="26"/>
      <c r="U125" s="26"/>
      <c r="V125" s="26"/>
      <c r="W125" s="26"/>
      <c r="X125" s="26"/>
      <c r="Y125" s="26"/>
      <c r="Z125" s="26"/>
      <c r="AA125" s="26"/>
      <c r="AB125" s="26"/>
      <c r="AC125" s="26"/>
      <c r="AD125" s="26"/>
      <c r="AE125" s="26"/>
      <c r="AF125" s="68"/>
      <c r="AG125" s="75"/>
      <c r="AH125" s="75"/>
      <c r="AI125" s="26"/>
      <c r="AJ125" s="26"/>
      <c r="AK125" s="26"/>
      <c r="AL125" s="26"/>
      <c r="AM125" s="26"/>
      <c r="AN125" s="26"/>
      <c r="AO125" s="26"/>
      <c r="AP125" s="26"/>
      <c r="AQ125" s="26"/>
      <c r="AR125" s="26"/>
      <c r="AS125" s="68"/>
      <c r="AT125" s="75"/>
      <c r="AU125" s="75"/>
      <c r="AV125" s="26"/>
      <c r="AW125" s="26"/>
      <c r="AX125" s="26"/>
      <c r="AY125" s="26"/>
      <c r="AZ125" s="26"/>
      <c r="BA125" s="26"/>
      <c r="BB125" s="26"/>
      <c r="BC125" s="26"/>
      <c r="BD125" s="26"/>
      <c r="BE125" s="26"/>
      <c r="BF125" s="68"/>
      <c r="BG125" s="26"/>
      <c r="BH125" s="26"/>
      <c r="BI125" s="26"/>
      <c r="BJ125" s="26"/>
      <c r="BK125" s="26"/>
      <c r="BL125" s="26"/>
      <c r="BM125" s="26"/>
      <c r="BN125" s="26"/>
      <c r="BO125" s="26"/>
      <c r="BP125" s="26"/>
      <c r="BQ125" s="26"/>
      <c r="BR125" s="26"/>
      <c r="BS125" s="26"/>
      <c r="BT125" s="26"/>
      <c r="BU125" s="26"/>
      <c r="BW125" s="1"/>
    </row>
    <row r="126" spans="12:75" x14ac:dyDescent="0.35">
      <c r="L126" s="26"/>
      <c r="M126" s="26"/>
      <c r="N126" s="26"/>
      <c r="O126" s="26"/>
      <c r="P126" s="26"/>
      <c r="Q126" s="26"/>
      <c r="R126" s="26"/>
      <c r="S126" s="26"/>
      <c r="T126" s="26"/>
      <c r="U126" s="26"/>
      <c r="V126" s="26"/>
      <c r="W126" s="26"/>
      <c r="X126" s="26"/>
      <c r="Y126" s="26"/>
      <c r="Z126" s="26"/>
      <c r="AA126" s="26"/>
      <c r="AB126" s="26"/>
      <c r="AC126" s="26"/>
      <c r="AD126" s="26"/>
      <c r="AE126" s="26"/>
      <c r="AF126" s="68"/>
      <c r="AG126" s="75"/>
      <c r="AH126" s="75"/>
      <c r="AI126" s="26"/>
      <c r="AJ126" s="26"/>
      <c r="AK126" s="26"/>
      <c r="AL126" s="26"/>
      <c r="AM126" s="26"/>
      <c r="AN126" s="26"/>
      <c r="AO126" s="26"/>
      <c r="AP126" s="26"/>
      <c r="AQ126" s="26"/>
      <c r="AR126" s="26"/>
      <c r="AS126" s="68"/>
      <c r="AT126" s="75"/>
      <c r="AU126" s="75"/>
      <c r="AV126" s="26"/>
      <c r="AW126" s="26"/>
      <c r="AX126" s="26"/>
      <c r="AY126" s="26"/>
      <c r="AZ126" s="26"/>
      <c r="BA126" s="26"/>
      <c r="BB126" s="26"/>
      <c r="BC126" s="26"/>
      <c r="BD126" s="26"/>
      <c r="BE126" s="26"/>
      <c r="BF126" s="68"/>
      <c r="BG126" s="26"/>
      <c r="BH126" s="26"/>
      <c r="BI126" s="26"/>
      <c r="BJ126" s="26"/>
      <c r="BK126" s="26"/>
      <c r="BL126" s="26"/>
      <c r="BM126" s="26"/>
      <c r="BN126" s="26"/>
      <c r="BO126" s="26"/>
      <c r="BP126" s="26"/>
      <c r="BQ126" s="26"/>
      <c r="BR126" s="26"/>
      <c r="BS126" s="26"/>
      <c r="BT126" s="26"/>
      <c r="BU126" s="26"/>
      <c r="BW126" s="1" t="s">
        <v>517</v>
      </c>
    </row>
    <row r="127" spans="12:75" x14ac:dyDescent="0.35">
      <c r="L127" s="26"/>
      <c r="M127" s="26"/>
      <c r="N127" s="26"/>
      <c r="O127" s="26"/>
      <c r="P127" s="26"/>
      <c r="Q127" s="26"/>
      <c r="R127" s="26"/>
      <c r="S127" s="26"/>
      <c r="T127" s="26"/>
      <c r="U127" s="26"/>
      <c r="V127" s="26"/>
      <c r="W127" s="26"/>
      <c r="X127" s="26"/>
      <c r="Y127" s="26"/>
      <c r="Z127" s="26"/>
      <c r="AA127" s="26"/>
      <c r="AB127" s="26"/>
      <c r="AC127" s="26"/>
      <c r="AD127" s="26"/>
      <c r="AE127" s="26"/>
      <c r="AF127" s="68"/>
      <c r="AG127" s="75"/>
      <c r="AH127" s="75"/>
      <c r="AI127" s="26"/>
      <c r="AJ127" s="26"/>
      <c r="AK127" s="26"/>
      <c r="AL127" s="26"/>
      <c r="AM127" s="26"/>
      <c r="AN127" s="26"/>
      <c r="AO127" s="26"/>
      <c r="AP127" s="26"/>
      <c r="AQ127" s="26"/>
      <c r="AR127" s="26"/>
      <c r="AS127" s="68"/>
      <c r="AT127" s="75"/>
      <c r="AU127" s="75"/>
      <c r="AV127" s="26"/>
      <c r="AW127" s="26"/>
      <c r="AX127" s="26"/>
      <c r="AY127" s="26"/>
      <c r="AZ127" s="26"/>
      <c r="BA127" s="26"/>
      <c r="BB127" s="26"/>
      <c r="BC127" s="26"/>
      <c r="BD127" s="26"/>
      <c r="BE127" s="26"/>
      <c r="BF127" s="68"/>
      <c r="BG127" s="26"/>
      <c r="BH127" s="26"/>
      <c r="BI127" s="26"/>
      <c r="BJ127" s="26"/>
      <c r="BK127" s="26"/>
      <c r="BL127" s="26"/>
      <c r="BM127" s="26"/>
      <c r="BN127" s="26"/>
      <c r="BO127" s="26"/>
      <c r="BP127" s="26"/>
      <c r="BQ127" s="26"/>
      <c r="BR127" s="26"/>
      <c r="BS127" s="26"/>
      <c r="BT127" s="26"/>
      <c r="BU127" s="26"/>
      <c r="BW127" s="1" t="s">
        <v>518</v>
      </c>
    </row>
    <row r="128" spans="12:75" x14ac:dyDescent="0.35">
      <c r="L128" s="26"/>
      <c r="M128" s="26"/>
      <c r="N128" s="26"/>
      <c r="O128" s="26"/>
      <c r="P128" s="26"/>
      <c r="Q128" s="26"/>
      <c r="R128" s="26"/>
      <c r="S128" s="26"/>
      <c r="T128" s="26"/>
      <c r="U128" s="26"/>
      <c r="V128" s="26"/>
      <c r="W128" s="26"/>
      <c r="X128" s="26"/>
      <c r="Y128" s="26"/>
      <c r="Z128" s="26"/>
      <c r="AA128" s="26"/>
      <c r="AB128" s="26"/>
      <c r="AC128" s="26"/>
      <c r="AD128" s="26"/>
      <c r="AE128" s="26"/>
      <c r="AF128" s="68"/>
      <c r="AG128" s="75"/>
      <c r="AH128" s="75"/>
      <c r="AI128" s="26"/>
      <c r="AJ128" s="26"/>
      <c r="AK128" s="26"/>
      <c r="AL128" s="26"/>
      <c r="AM128" s="26"/>
      <c r="AN128" s="26"/>
      <c r="AO128" s="26"/>
      <c r="AP128" s="26"/>
      <c r="AQ128" s="26"/>
      <c r="AR128" s="26"/>
      <c r="AS128" s="68"/>
      <c r="AT128" s="75"/>
      <c r="AU128" s="75"/>
      <c r="AV128" s="26"/>
      <c r="AW128" s="26"/>
      <c r="AX128" s="26"/>
      <c r="AY128" s="26"/>
      <c r="AZ128" s="26"/>
      <c r="BA128" s="26"/>
      <c r="BB128" s="26"/>
      <c r="BC128" s="26"/>
      <c r="BD128" s="26"/>
      <c r="BE128" s="26"/>
      <c r="BF128" s="68"/>
      <c r="BG128" s="26"/>
      <c r="BH128" s="26"/>
      <c r="BI128" s="26"/>
      <c r="BJ128" s="26"/>
      <c r="BK128" s="26"/>
      <c r="BL128" s="26"/>
      <c r="BM128" s="26"/>
      <c r="BN128" s="26"/>
      <c r="BO128" s="26"/>
      <c r="BP128" s="26"/>
      <c r="BQ128" s="26"/>
      <c r="BR128" s="26"/>
      <c r="BS128" s="26"/>
      <c r="BT128" s="26"/>
      <c r="BU128" s="26"/>
      <c r="BW128" s="1" t="s">
        <v>519</v>
      </c>
    </row>
    <row r="129" spans="12:75" x14ac:dyDescent="0.35">
      <c r="L129" s="26"/>
      <c r="M129" s="26"/>
      <c r="N129" s="26"/>
      <c r="O129" s="26"/>
      <c r="P129" s="26"/>
      <c r="Q129" s="26"/>
      <c r="R129" s="26"/>
      <c r="S129" s="26"/>
      <c r="T129" s="26"/>
      <c r="U129" s="26"/>
      <c r="V129" s="26"/>
      <c r="W129" s="26"/>
      <c r="X129" s="26"/>
      <c r="Y129" s="26"/>
      <c r="Z129" s="26"/>
      <c r="AA129" s="26"/>
      <c r="AB129" s="26"/>
      <c r="AC129" s="26"/>
      <c r="AD129" s="26"/>
      <c r="AE129" s="26"/>
      <c r="AF129" s="68"/>
      <c r="AG129" s="75"/>
      <c r="AH129" s="75"/>
      <c r="AI129" s="26"/>
      <c r="AJ129" s="26"/>
      <c r="AK129" s="26"/>
      <c r="AL129" s="26"/>
      <c r="AM129" s="26"/>
      <c r="AN129" s="26"/>
      <c r="AO129" s="26"/>
      <c r="AP129" s="26"/>
      <c r="AQ129" s="26"/>
      <c r="AR129" s="26"/>
      <c r="AS129" s="68"/>
      <c r="AT129" s="75"/>
      <c r="AU129" s="75"/>
      <c r="AV129" s="26"/>
      <c r="AW129" s="26"/>
      <c r="AX129" s="26"/>
      <c r="AY129" s="26"/>
      <c r="AZ129" s="26"/>
      <c r="BA129" s="26"/>
      <c r="BB129" s="26"/>
      <c r="BC129" s="26"/>
      <c r="BD129" s="26"/>
      <c r="BE129" s="26"/>
      <c r="BF129" s="68"/>
      <c r="BG129" s="26"/>
      <c r="BH129" s="26"/>
      <c r="BI129" s="26"/>
      <c r="BJ129" s="26"/>
      <c r="BK129" s="26"/>
      <c r="BL129" s="26"/>
      <c r="BM129" s="26"/>
      <c r="BN129" s="26"/>
      <c r="BO129" s="26"/>
      <c r="BP129" s="26"/>
      <c r="BQ129" s="26"/>
      <c r="BR129" s="26"/>
      <c r="BS129" s="26"/>
      <c r="BT129" s="26"/>
      <c r="BU129" s="26"/>
      <c r="BW129" s="1" t="s">
        <v>520</v>
      </c>
    </row>
    <row r="130" spans="12:75" x14ac:dyDescent="0.35">
      <c r="L130" s="26"/>
      <c r="M130" s="26"/>
      <c r="N130" s="26"/>
      <c r="O130" s="26"/>
      <c r="P130" s="26"/>
      <c r="Q130" s="26"/>
      <c r="R130" s="26"/>
      <c r="S130" s="26"/>
      <c r="T130" s="26"/>
      <c r="U130" s="26"/>
      <c r="V130" s="26"/>
      <c r="W130" s="26"/>
      <c r="X130" s="26"/>
      <c r="Y130" s="26"/>
      <c r="Z130" s="26"/>
      <c r="AA130" s="26"/>
      <c r="AB130" s="26"/>
      <c r="AC130" s="26"/>
      <c r="AD130" s="26"/>
      <c r="AE130" s="26"/>
      <c r="AF130" s="68"/>
      <c r="AG130" s="75"/>
      <c r="AH130" s="75"/>
      <c r="AI130" s="26"/>
      <c r="AJ130" s="26"/>
      <c r="AK130" s="26"/>
      <c r="AL130" s="26"/>
      <c r="AM130" s="26"/>
      <c r="AN130" s="26"/>
      <c r="AO130" s="26"/>
      <c r="AP130" s="26"/>
      <c r="AQ130" s="26"/>
      <c r="AR130" s="26"/>
      <c r="AS130" s="68"/>
      <c r="AT130" s="75"/>
      <c r="AU130" s="75"/>
      <c r="AV130" s="26"/>
      <c r="AW130" s="26"/>
      <c r="AX130" s="26"/>
      <c r="AY130" s="26"/>
      <c r="AZ130" s="26"/>
      <c r="BA130" s="26"/>
      <c r="BB130" s="26"/>
      <c r="BC130" s="26"/>
      <c r="BD130" s="26"/>
      <c r="BE130" s="26"/>
      <c r="BF130" s="68"/>
      <c r="BG130" s="26"/>
      <c r="BH130" s="26"/>
      <c r="BI130" s="26"/>
      <c r="BJ130" s="26"/>
      <c r="BK130" s="26"/>
      <c r="BL130" s="26"/>
      <c r="BM130" s="26"/>
      <c r="BN130" s="26"/>
      <c r="BO130" s="26"/>
      <c r="BP130" s="26"/>
      <c r="BQ130" s="26"/>
      <c r="BR130" s="26"/>
      <c r="BS130" s="26"/>
      <c r="BT130" s="26"/>
      <c r="BU130" s="26"/>
      <c r="BW130" s="1" t="s">
        <v>521</v>
      </c>
    </row>
    <row r="131" spans="12:75" x14ac:dyDescent="0.35">
      <c r="L131" s="26"/>
      <c r="M131" s="26"/>
      <c r="N131" s="26"/>
      <c r="O131" s="26"/>
      <c r="P131" s="26"/>
      <c r="Q131" s="26"/>
      <c r="R131" s="26"/>
      <c r="S131" s="26"/>
      <c r="T131" s="26"/>
      <c r="U131" s="26"/>
      <c r="V131" s="26"/>
      <c r="W131" s="26"/>
      <c r="X131" s="26"/>
      <c r="Y131" s="26"/>
      <c r="Z131" s="26"/>
      <c r="AA131" s="26"/>
      <c r="AB131" s="26"/>
      <c r="AC131" s="26"/>
      <c r="AD131" s="26"/>
      <c r="AE131" s="26"/>
      <c r="AF131" s="68"/>
      <c r="AG131" s="75"/>
      <c r="AH131" s="75"/>
      <c r="AI131" s="26"/>
      <c r="AJ131" s="26"/>
      <c r="AK131" s="26"/>
      <c r="AL131" s="26"/>
      <c r="AM131" s="26"/>
      <c r="AN131" s="26"/>
      <c r="AO131" s="26"/>
      <c r="AP131" s="26"/>
      <c r="AQ131" s="26"/>
      <c r="AR131" s="26"/>
      <c r="AS131" s="68"/>
      <c r="AT131" s="75"/>
      <c r="AU131" s="75"/>
      <c r="AV131" s="26"/>
      <c r="AW131" s="26"/>
      <c r="AX131" s="26"/>
      <c r="AY131" s="26"/>
      <c r="AZ131" s="26"/>
      <c r="BA131" s="26"/>
      <c r="BB131" s="26"/>
      <c r="BC131" s="26"/>
      <c r="BD131" s="26"/>
      <c r="BE131" s="26"/>
      <c r="BF131" s="68"/>
      <c r="BG131" s="26"/>
      <c r="BH131" s="26"/>
      <c r="BI131" s="26"/>
      <c r="BJ131" s="26"/>
      <c r="BK131" s="26"/>
      <c r="BL131" s="26"/>
      <c r="BM131" s="26"/>
      <c r="BN131" s="26"/>
      <c r="BO131" s="26"/>
      <c r="BP131" s="26"/>
      <c r="BQ131" s="26"/>
      <c r="BR131" s="26"/>
      <c r="BS131" s="26"/>
      <c r="BT131" s="26"/>
      <c r="BU131" s="26"/>
      <c r="BW131" s="1" t="s">
        <v>522</v>
      </c>
    </row>
    <row r="132" spans="12:75" x14ac:dyDescent="0.35">
      <c r="L132" s="26"/>
      <c r="M132" s="26"/>
      <c r="N132" s="26"/>
      <c r="O132" s="26"/>
      <c r="P132" s="26"/>
      <c r="Q132" s="26"/>
      <c r="R132" s="26"/>
      <c r="S132" s="26"/>
      <c r="T132" s="26"/>
      <c r="U132" s="26"/>
      <c r="V132" s="26"/>
      <c r="W132" s="26"/>
      <c r="X132" s="26"/>
      <c r="Y132" s="26"/>
      <c r="Z132" s="26"/>
      <c r="AA132" s="26"/>
      <c r="AB132" s="26"/>
      <c r="AC132" s="26"/>
      <c r="AD132" s="26"/>
      <c r="AE132" s="26"/>
      <c r="AF132" s="68"/>
      <c r="AG132" s="75"/>
      <c r="AH132" s="75"/>
      <c r="AI132" s="26"/>
      <c r="AJ132" s="26"/>
      <c r="AK132" s="26"/>
      <c r="AL132" s="26"/>
      <c r="AM132" s="26"/>
      <c r="AN132" s="26"/>
      <c r="AO132" s="26"/>
      <c r="AP132" s="26"/>
      <c r="AQ132" s="26"/>
      <c r="AR132" s="26"/>
      <c r="AS132" s="68"/>
      <c r="AT132" s="75"/>
      <c r="AU132" s="75"/>
      <c r="AV132" s="26"/>
      <c r="AW132" s="26"/>
      <c r="AX132" s="26"/>
      <c r="AY132" s="26"/>
      <c r="AZ132" s="26"/>
      <c r="BA132" s="26"/>
      <c r="BB132" s="26"/>
      <c r="BC132" s="26"/>
      <c r="BD132" s="26"/>
      <c r="BE132" s="26"/>
      <c r="BF132" s="68"/>
      <c r="BG132" s="26"/>
      <c r="BH132" s="26"/>
      <c r="BI132" s="26"/>
      <c r="BJ132" s="26"/>
      <c r="BK132" s="26"/>
      <c r="BL132" s="26"/>
      <c r="BM132" s="26"/>
      <c r="BN132" s="26"/>
      <c r="BO132" s="26"/>
      <c r="BP132" s="26"/>
      <c r="BQ132" s="26"/>
      <c r="BR132" s="26"/>
      <c r="BS132" s="26"/>
      <c r="BT132" s="26"/>
      <c r="BU132" s="26"/>
      <c r="BW132" s="1"/>
    </row>
    <row r="133" spans="12:75" x14ac:dyDescent="0.35">
      <c r="L133" s="26"/>
      <c r="M133" s="26"/>
      <c r="N133" s="26"/>
      <c r="O133" s="26"/>
      <c r="P133" s="26"/>
      <c r="Q133" s="26"/>
      <c r="R133" s="26"/>
      <c r="S133" s="26"/>
      <c r="T133" s="26"/>
      <c r="U133" s="26"/>
      <c r="V133" s="26"/>
      <c r="W133" s="26"/>
      <c r="X133" s="26"/>
      <c r="Y133" s="26"/>
      <c r="Z133" s="26"/>
      <c r="AA133" s="26"/>
      <c r="AB133" s="26"/>
      <c r="AC133" s="26"/>
      <c r="AD133" s="26"/>
      <c r="AE133" s="26"/>
      <c r="AF133" s="68"/>
      <c r="AG133" s="75"/>
      <c r="AH133" s="75"/>
      <c r="AI133" s="26"/>
      <c r="AJ133" s="26"/>
      <c r="AK133" s="26"/>
      <c r="AL133" s="26"/>
      <c r="AM133" s="26"/>
      <c r="AN133" s="26"/>
      <c r="AO133" s="26"/>
      <c r="AP133" s="26"/>
      <c r="AQ133" s="26"/>
      <c r="AR133" s="26"/>
      <c r="AS133" s="68"/>
      <c r="AT133" s="75"/>
      <c r="AU133" s="75"/>
      <c r="AV133" s="26"/>
      <c r="AW133" s="26"/>
      <c r="AX133" s="26"/>
      <c r="AY133" s="26"/>
      <c r="AZ133" s="26"/>
      <c r="BA133" s="26"/>
      <c r="BB133" s="26"/>
      <c r="BC133" s="26"/>
      <c r="BD133" s="26"/>
      <c r="BE133" s="26"/>
      <c r="BF133" s="68"/>
      <c r="BG133" s="26"/>
      <c r="BH133" s="26"/>
      <c r="BI133" s="26"/>
      <c r="BJ133" s="26"/>
      <c r="BK133" s="26"/>
      <c r="BL133" s="26"/>
      <c r="BM133" s="26"/>
      <c r="BN133" s="26"/>
      <c r="BO133" s="26"/>
      <c r="BP133" s="26"/>
      <c r="BQ133" s="26"/>
      <c r="BR133" s="26"/>
      <c r="BS133" s="26"/>
      <c r="BT133" s="26"/>
      <c r="BU133" s="26"/>
      <c r="BW133" s="1" t="s">
        <v>523</v>
      </c>
    </row>
    <row r="134" spans="12:75" x14ac:dyDescent="0.35">
      <c r="L134" s="26"/>
      <c r="M134" s="26"/>
      <c r="N134" s="26"/>
      <c r="O134" s="26"/>
      <c r="P134" s="26"/>
      <c r="Q134" s="26"/>
      <c r="R134" s="26"/>
      <c r="S134" s="26"/>
      <c r="T134" s="26"/>
      <c r="U134" s="26"/>
      <c r="V134" s="26"/>
      <c r="W134" s="26"/>
      <c r="X134" s="26"/>
      <c r="Y134" s="26"/>
      <c r="Z134" s="26"/>
      <c r="AA134" s="26"/>
      <c r="AB134" s="26"/>
      <c r="AC134" s="26"/>
      <c r="AD134" s="26"/>
      <c r="AE134" s="26"/>
      <c r="AF134" s="68"/>
      <c r="AG134" s="75"/>
      <c r="AH134" s="75"/>
      <c r="AI134" s="26"/>
      <c r="AJ134" s="26"/>
      <c r="AK134" s="26"/>
      <c r="AL134" s="26"/>
      <c r="AM134" s="26"/>
      <c r="AN134" s="26"/>
      <c r="AO134" s="26"/>
      <c r="AP134" s="26"/>
      <c r="AQ134" s="26"/>
      <c r="AR134" s="26"/>
      <c r="AS134" s="68"/>
      <c r="AT134" s="75"/>
      <c r="AU134" s="75"/>
      <c r="AV134" s="26"/>
      <c r="AW134" s="26"/>
      <c r="AX134" s="26"/>
      <c r="AY134" s="26"/>
      <c r="AZ134" s="26"/>
      <c r="BA134" s="26"/>
      <c r="BB134" s="26"/>
      <c r="BC134" s="26"/>
      <c r="BD134" s="26"/>
      <c r="BE134" s="26"/>
      <c r="BF134" s="68"/>
      <c r="BG134" s="26"/>
      <c r="BH134" s="26"/>
      <c r="BI134" s="26"/>
      <c r="BJ134" s="26"/>
      <c r="BK134" s="26"/>
      <c r="BL134" s="26"/>
      <c r="BM134" s="26"/>
      <c r="BN134" s="26"/>
      <c r="BO134" s="26"/>
      <c r="BP134" s="26"/>
      <c r="BQ134" s="26"/>
      <c r="BR134" s="26"/>
      <c r="BS134" s="26"/>
      <c r="BT134" s="26"/>
      <c r="BU134" s="26"/>
      <c r="BW134" s="1" t="s">
        <v>524</v>
      </c>
    </row>
    <row r="135" spans="12:75" x14ac:dyDescent="0.35">
      <c r="L135" s="26"/>
      <c r="M135" s="26"/>
      <c r="N135" s="26"/>
      <c r="O135" s="26"/>
      <c r="P135" s="26"/>
      <c r="Q135" s="26"/>
      <c r="R135" s="26"/>
      <c r="S135" s="26"/>
      <c r="T135" s="26"/>
      <c r="U135" s="26"/>
      <c r="V135" s="26"/>
      <c r="W135" s="26"/>
      <c r="X135" s="26"/>
      <c r="Y135" s="26"/>
      <c r="Z135" s="26"/>
      <c r="AA135" s="26"/>
      <c r="AB135" s="26"/>
      <c r="AC135" s="26"/>
      <c r="AD135" s="26"/>
      <c r="AE135" s="26"/>
      <c r="AF135" s="68"/>
      <c r="AG135" s="75"/>
      <c r="AH135" s="75"/>
      <c r="AI135" s="26"/>
      <c r="AJ135" s="26"/>
      <c r="AK135" s="26"/>
      <c r="AL135" s="26"/>
      <c r="AM135" s="26"/>
      <c r="AN135" s="26"/>
      <c r="AO135" s="26"/>
      <c r="AP135" s="26"/>
      <c r="AQ135" s="26"/>
      <c r="AR135" s="26"/>
      <c r="AS135" s="68"/>
      <c r="AT135" s="75"/>
      <c r="AU135" s="75"/>
      <c r="AV135" s="26"/>
      <c r="AW135" s="26"/>
      <c r="AX135" s="26"/>
      <c r="AY135" s="26"/>
      <c r="AZ135" s="26"/>
      <c r="BA135" s="26"/>
      <c r="BB135" s="26"/>
      <c r="BC135" s="26"/>
      <c r="BD135" s="26"/>
      <c r="BE135" s="26"/>
      <c r="BF135" s="68"/>
      <c r="BG135" s="26"/>
      <c r="BH135" s="26"/>
      <c r="BI135" s="26"/>
      <c r="BJ135" s="26"/>
      <c r="BK135" s="26"/>
      <c r="BL135" s="26"/>
      <c r="BM135" s="26"/>
      <c r="BN135" s="26"/>
      <c r="BO135" s="26"/>
      <c r="BP135" s="26"/>
      <c r="BQ135" s="26"/>
      <c r="BR135" s="26"/>
      <c r="BS135" s="26"/>
      <c r="BT135" s="26"/>
      <c r="BU135" s="26"/>
      <c r="BW135" s="1" t="s">
        <v>525</v>
      </c>
    </row>
    <row r="136" spans="12:75" x14ac:dyDescent="0.35">
      <c r="L136" s="26"/>
      <c r="M136" s="26"/>
      <c r="N136" s="26"/>
      <c r="O136" s="26"/>
      <c r="P136" s="26"/>
      <c r="Q136" s="26"/>
      <c r="R136" s="26"/>
      <c r="S136" s="26"/>
      <c r="T136" s="26"/>
      <c r="U136" s="26"/>
      <c r="V136" s="26"/>
      <c r="W136" s="26"/>
      <c r="X136" s="26"/>
      <c r="Y136" s="26"/>
      <c r="Z136" s="26"/>
      <c r="AA136" s="26"/>
      <c r="AB136" s="26"/>
      <c r="AC136" s="26"/>
      <c r="AD136" s="26"/>
      <c r="AE136" s="26"/>
      <c r="AF136" s="68"/>
      <c r="AG136" s="75"/>
      <c r="AH136" s="75"/>
      <c r="AI136" s="26"/>
      <c r="AJ136" s="26"/>
      <c r="AK136" s="26"/>
      <c r="AL136" s="26"/>
      <c r="AM136" s="26"/>
      <c r="AN136" s="26"/>
      <c r="AO136" s="26"/>
      <c r="AP136" s="26"/>
      <c r="AQ136" s="26"/>
      <c r="AR136" s="26"/>
      <c r="AS136" s="68"/>
      <c r="AT136" s="75"/>
      <c r="AU136" s="75"/>
      <c r="AV136" s="26"/>
      <c r="AW136" s="26"/>
      <c r="AX136" s="26"/>
      <c r="AY136" s="26"/>
      <c r="AZ136" s="26"/>
      <c r="BA136" s="26"/>
      <c r="BB136" s="26"/>
      <c r="BC136" s="26"/>
      <c r="BD136" s="26"/>
      <c r="BE136" s="26"/>
      <c r="BF136" s="68"/>
      <c r="BG136" s="26"/>
      <c r="BH136" s="26"/>
      <c r="BI136" s="26"/>
      <c r="BJ136" s="26"/>
      <c r="BK136" s="26"/>
      <c r="BL136" s="26"/>
      <c r="BM136" s="26"/>
      <c r="BN136" s="26"/>
      <c r="BO136" s="26"/>
      <c r="BP136" s="26"/>
      <c r="BQ136" s="26"/>
      <c r="BR136" s="26"/>
      <c r="BS136" s="26"/>
      <c r="BT136" s="26"/>
      <c r="BU136" s="26"/>
      <c r="BW136" s="1" t="s">
        <v>445</v>
      </c>
    </row>
    <row r="137" spans="12:75" x14ac:dyDescent="0.35">
      <c r="L137" s="26"/>
      <c r="M137" s="26"/>
      <c r="N137" s="26"/>
      <c r="O137" s="26"/>
      <c r="P137" s="26"/>
      <c r="Q137" s="26"/>
      <c r="R137" s="26"/>
      <c r="S137" s="26"/>
      <c r="T137" s="26"/>
      <c r="U137" s="26"/>
      <c r="V137" s="26"/>
      <c r="W137" s="26"/>
      <c r="X137" s="26"/>
      <c r="Y137" s="26"/>
      <c r="Z137" s="26"/>
      <c r="AA137" s="26"/>
      <c r="AB137" s="26"/>
      <c r="AC137" s="26"/>
      <c r="AD137" s="26"/>
      <c r="AE137" s="26"/>
      <c r="AF137" s="68"/>
      <c r="AG137" s="75"/>
      <c r="AH137" s="75"/>
      <c r="AI137" s="26"/>
      <c r="AJ137" s="26"/>
      <c r="AK137" s="26"/>
      <c r="AL137" s="26"/>
      <c r="AM137" s="26"/>
      <c r="AN137" s="26"/>
      <c r="AO137" s="26"/>
      <c r="AP137" s="26"/>
      <c r="AQ137" s="26"/>
      <c r="AR137" s="26"/>
      <c r="AS137" s="68"/>
      <c r="AT137" s="75"/>
      <c r="AU137" s="75"/>
      <c r="AV137" s="26"/>
      <c r="AW137" s="26"/>
      <c r="AX137" s="26"/>
      <c r="AY137" s="26"/>
      <c r="AZ137" s="26"/>
      <c r="BA137" s="26"/>
      <c r="BB137" s="26"/>
      <c r="BC137" s="26"/>
      <c r="BD137" s="26"/>
      <c r="BE137" s="26"/>
      <c r="BF137" s="68"/>
      <c r="BG137" s="26"/>
      <c r="BH137" s="26"/>
      <c r="BI137" s="26"/>
      <c r="BJ137" s="26"/>
      <c r="BK137" s="26"/>
      <c r="BL137" s="26"/>
      <c r="BM137" s="26"/>
      <c r="BN137" s="26"/>
      <c r="BO137" s="26"/>
      <c r="BP137" s="26"/>
      <c r="BQ137" s="26"/>
      <c r="BR137" s="26"/>
      <c r="BS137" s="26"/>
      <c r="BT137" s="26"/>
      <c r="BU137" s="26"/>
      <c r="BW137" s="1" t="s">
        <v>526</v>
      </c>
    </row>
    <row r="138" spans="12:75" x14ac:dyDescent="0.35">
      <c r="L138" s="26"/>
      <c r="M138" s="26"/>
      <c r="N138" s="26"/>
      <c r="O138" s="26"/>
      <c r="P138" s="26"/>
      <c r="Q138" s="26"/>
      <c r="R138" s="26"/>
      <c r="S138" s="26"/>
      <c r="T138" s="26"/>
      <c r="U138" s="26"/>
      <c r="V138" s="26"/>
      <c r="W138" s="26"/>
      <c r="X138" s="26"/>
      <c r="Y138" s="26"/>
      <c r="Z138" s="26"/>
      <c r="AA138" s="26"/>
      <c r="AB138" s="26"/>
      <c r="AC138" s="26"/>
      <c r="AD138" s="26"/>
      <c r="AE138" s="26"/>
      <c r="AF138" s="68"/>
      <c r="AG138" s="75"/>
      <c r="AH138" s="75"/>
      <c r="AI138" s="26"/>
      <c r="AJ138" s="26"/>
      <c r="AK138" s="26"/>
      <c r="AL138" s="26"/>
      <c r="AM138" s="26"/>
      <c r="AN138" s="26"/>
      <c r="AO138" s="26"/>
      <c r="AP138" s="26"/>
      <c r="AQ138" s="26"/>
      <c r="AR138" s="26"/>
      <c r="AS138" s="68"/>
      <c r="AT138" s="75"/>
      <c r="AU138" s="75"/>
      <c r="AV138" s="26"/>
      <c r="AW138" s="26"/>
      <c r="AX138" s="26"/>
      <c r="AY138" s="26"/>
      <c r="AZ138" s="26"/>
      <c r="BA138" s="26"/>
      <c r="BB138" s="26"/>
      <c r="BC138" s="26"/>
      <c r="BD138" s="26"/>
      <c r="BE138" s="26"/>
      <c r="BF138" s="68"/>
      <c r="BG138" s="26"/>
      <c r="BH138" s="26"/>
      <c r="BI138" s="26"/>
      <c r="BJ138" s="26"/>
      <c r="BK138" s="26"/>
      <c r="BL138" s="26"/>
      <c r="BM138" s="26"/>
      <c r="BN138" s="26"/>
      <c r="BO138" s="26"/>
      <c r="BP138" s="26"/>
      <c r="BQ138" s="26"/>
      <c r="BR138" s="26"/>
      <c r="BS138" s="26"/>
      <c r="BT138" s="26"/>
      <c r="BU138" s="26"/>
      <c r="BW138" s="1" t="s">
        <v>527</v>
      </c>
    </row>
    <row r="139" spans="12:75" x14ac:dyDescent="0.35">
      <c r="L139" s="26"/>
      <c r="M139" s="26"/>
      <c r="N139" s="26"/>
      <c r="O139" s="26"/>
      <c r="P139" s="26"/>
      <c r="Q139" s="26"/>
      <c r="R139" s="26"/>
      <c r="S139" s="26"/>
      <c r="T139" s="26"/>
      <c r="U139" s="26"/>
      <c r="V139" s="26"/>
      <c r="W139" s="26"/>
      <c r="X139" s="26"/>
      <c r="Y139" s="26"/>
      <c r="Z139" s="26"/>
      <c r="AA139" s="26"/>
      <c r="AB139" s="26"/>
      <c r="AC139" s="26"/>
      <c r="AD139" s="26"/>
      <c r="AE139" s="26"/>
      <c r="AF139" s="68"/>
      <c r="AG139" s="75"/>
      <c r="AH139" s="75"/>
      <c r="AI139" s="26"/>
      <c r="AJ139" s="26"/>
      <c r="AK139" s="26"/>
      <c r="AL139" s="26"/>
      <c r="AM139" s="26"/>
      <c r="AN139" s="26"/>
      <c r="AO139" s="26"/>
      <c r="AP139" s="26"/>
      <c r="AQ139" s="26"/>
      <c r="AR139" s="26"/>
      <c r="AS139" s="68"/>
      <c r="AT139" s="75"/>
      <c r="AU139" s="75"/>
      <c r="AV139" s="26"/>
      <c r="AW139" s="26"/>
      <c r="AX139" s="26"/>
      <c r="AY139" s="26"/>
      <c r="AZ139" s="26"/>
      <c r="BA139" s="26"/>
      <c r="BB139" s="26"/>
      <c r="BC139" s="26"/>
      <c r="BD139" s="26"/>
      <c r="BE139" s="26"/>
      <c r="BF139" s="68"/>
      <c r="BG139" s="26"/>
      <c r="BH139" s="26"/>
      <c r="BI139" s="26"/>
      <c r="BJ139" s="26"/>
      <c r="BK139" s="26"/>
      <c r="BL139" s="26"/>
      <c r="BM139" s="26"/>
      <c r="BN139" s="26"/>
      <c r="BO139" s="26"/>
      <c r="BP139" s="26"/>
      <c r="BQ139" s="26"/>
      <c r="BR139" s="26"/>
      <c r="BS139" s="26"/>
      <c r="BT139" s="26"/>
      <c r="BU139" s="26"/>
    </row>
    <row r="140" spans="12:75" x14ac:dyDescent="0.35">
      <c r="L140" s="26"/>
      <c r="M140" s="26"/>
      <c r="N140" s="26"/>
      <c r="O140" s="26"/>
      <c r="P140" s="26"/>
      <c r="Q140" s="26"/>
      <c r="R140" s="26"/>
      <c r="S140" s="26"/>
      <c r="T140" s="26"/>
      <c r="U140" s="26"/>
      <c r="V140" s="26"/>
      <c r="W140" s="26"/>
      <c r="X140" s="26"/>
      <c r="Y140" s="26"/>
      <c r="Z140" s="26"/>
      <c r="AA140" s="26"/>
      <c r="AB140" s="26"/>
      <c r="AC140" s="26"/>
      <c r="AD140" s="26"/>
      <c r="AE140" s="26"/>
      <c r="AF140" s="68"/>
      <c r="AG140" s="75"/>
      <c r="AH140" s="75"/>
      <c r="AI140" s="26"/>
      <c r="AJ140" s="26"/>
      <c r="AK140" s="26"/>
      <c r="AL140" s="26"/>
      <c r="AM140" s="26"/>
      <c r="AN140" s="26"/>
      <c r="AO140" s="26"/>
      <c r="AP140" s="26"/>
      <c r="AQ140" s="26"/>
      <c r="AR140" s="26"/>
      <c r="AS140" s="68"/>
      <c r="AT140" s="75"/>
      <c r="AU140" s="75"/>
      <c r="AV140" s="26"/>
      <c r="AW140" s="26"/>
      <c r="AX140" s="26"/>
      <c r="AY140" s="26"/>
      <c r="AZ140" s="26"/>
      <c r="BA140" s="26"/>
      <c r="BB140" s="26"/>
      <c r="BC140" s="26"/>
      <c r="BD140" s="26"/>
      <c r="BE140" s="26"/>
      <c r="BF140" s="68"/>
      <c r="BG140" s="26"/>
      <c r="BH140" s="26"/>
      <c r="BI140" s="26"/>
      <c r="BJ140" s="26"/>
      <c r="BK140" s="26"/>
      <c r="BL140" s="26"/>
      <c r="BM140" s="26"/>
      <c r="BN140" s="26"/>
      <c r="BO140" s="26"/>
      <c r="BP140" s="26"/>
      <c r="BQ140" s="26"/>
      <c r="BR140" s="26"/>
      <c r="BS140" s="26"/>
      <c r="BT140" s="26"/>
      <c r="BU140" s="26"/>
      <c r="BW140" s="1" t="s">
        <v>532</v>
      </c>
    </row>
    <row r="141" spans="12:75" x14ac:dyDescent="0.35">
      <c r="L141" s="26"/>
      <c r="M141" s="26"/>
      <c r="N141" s="26"/>
      <c r="O141" s="26"/>
      <c r="P141" s="26"/>
      <c r="Q141" s="26"/>
      <c r="R141" s="26"/>
      <c r="S141" s="26"/>
      <c r="T141" s="26"/>
      <c r="U141" s="26"/>
      <c r="V141" s="26"/>
      <c r="W141" s="26"/>
      <c r="X141" s="26"/>
      <c r="Y141" s="26"/>
      <c r="Z141" s="26"/>
      <c r="AA141" s="26"/>
      <c r="AB141" s="26"/>
      <c r="AC141" s="26"/>
      <c r="AD141" s="26"/>
      <c r="AE141" s="26"/>
      <c r="AF141" s="68"/>
      <c r="AG141" s="75"/>
      <c r="AH141" s="75"/>
      <c r="AI141" s="26"/>
      <c r="AJ141" s="26"/>
      <c r="AK141" s="26"/>
      <c r="AL141" s="26"/>
      <c r="AM141" s="26"/>
      <c r="AN141" s="26"/>
      <c r="AO141" s="26"/>
      <c r="AP141" s="26"/>
      <c r="AQ141" s="26"/>
      <c r="AR141" s="26"/>
      <c r="AS141" s="68"/>
      <c r="AT141" s="75"/>
      <c r="AU141" s="75"/>
      <c r="AV141" s="26"/>
      <c r="AW141" s="26"/>
      <c r="AX141" s="26"/>
      <c r="AY141" s="26"/>
      <c r="AZ141" s="26"/>
      <c r="BA141" s="26"/>
      <c r="BB141" s="26"/>
      <c r="BC141" s="26"/>
      <c r="BD141" s="26"/>
      <c r="BE141" s="26"/>
      <c r="BF141" s="68"/>
      <c r="BG141" s="26"/>
      <c r="BH141" s="26"/>
      <c r="BI141" s="26"/>
      <c r="BJ141" s="26"/>
      <c r="BK141" s="26"/>
      <c r="BL141" s="26"/>
      <c r="BM141" s="26"/>
      <c r="BN141" s="26"/>
      <c r="BO141" s="26"/>
      <c r="BP141" s="26"/>
      <c r="BQ141" s="26"/>
      <c r="BR141" s="26"/>
      <c r="BS141" s="26"/>
      <c r="BT141" s="26"/>
      <c r="BU141" s="26"/>
      <c r="BW141" s="1" t="s">
        <v>533</v>
      </c>
    </row>
    <row r="142" spans="12:75" x14ac:dyDescent="0.35">
      <c r="L142" s="26"/>
      <c r="M142" s="26"/>
      <c r="N142" s="26"/>
      <c r="O142" s="26"/>
      <c r="P142" s="26"/>
      <c r="Q142" s="26"/>
      <c r="R142" s="26"/>
      <c r="S142" s="26"/>
      <c r="T142" s="26"/>
      <c r="U142" s="26"/>
      <c r="V142" s="26"/>
      <c r="W142" s="26"/>
      <c r="X142" s="26"/>
      <c r="Y142" s="26"/>
      <c r="Z142" s="26"/>
      <c r="AA142" s="26"/>
      <c r="AB142" s="26"/>
      <c r="AC142" s="26"/>
      <c r="AD142" s="26"/>
      <c r="AE142" s="26"/>
      <c r="AF142" s="68"/>
      <c r="AG142" s="75"/>
      <c r="AH142" s="75"/>
      <c r="AI142" s="26"/>
      <c r="AJ142" s="26"/>
      <c r="AK142" s="26"/>
      <c r="AL142" s="26"/>
      <c r="AM142" s="26"/>
      <c r="AN142" s="26"/>
      <c r="AO142" s="26"/>
      <c r="AP142" s="26"/>
      <c r="AQ142" s="26"/>
      <c r="AR142" s="26"/>
      <c r="AS142" s="68"/>
      <c r="AT142" s="75"/>
      <c r="AU142" s="75"/>
      <c r="AV142" s="26"/>
      <c r="AW142" s="26"/>
      <c r="AX142" s="26"/>
      <c r="AY142" s="26"/>
      <c r="AZ142" s="26"/>
      <c r="BA142" s="26"/>
      <c r="BB142" s="26"/>
      <c r="BC142" s="26"/>
      <c r="BD142" s="26"/>
      <c r="BE142" s="26"/>
      <c r="BF142" s="68"/>
      <c r="BG142" s="26"/>
      <c r="BH142" s="26"/>
      <c r="BI142" s="26"/>
      <c r="BJ142" s="26"/>
      <c r="BK142" s="26"/>
      <c r="BL142" s="26"/>
      <c r="BM142" s="26"/>
      <c r="BN142" s="26"/>
      <c r="BO142" s="26"/>
      <c r="BP142" s="26"/>
      <c r="BQ142" s="26"/>
      <c r="BR142" s="26"/>
      <c r="BS142" s="26"/>
      <c r="BT142" s="26"/>
      <c r="BU142" s="26"/>
      <c r="BW142" s="1" t="s">
        <v>534</v>
      </c>
    </row>
    <row r="143" spans="12:75" x14ac:dyDescent="0.35">
      <c r="L143" s="26"/>
      <c r="M143" s="26"/>
      <c r="N143" s="26"/>
      <c r="O143" s="26"/>
      <c r="P143" s="26"/>
      <c r="Q143" s="26"/>
      <c r="R143" s="26"/>
      <c r="S143" s="26"/>
      <c r="T143" s="26"/>
      <c r="U143" s="26"/>
      <c r="V143" s="26"/>
      <c r="W143" s="26"/>
      <c r="X143" s="26"/>
      <c r="Y143" s="26"/>
      <c r="Z143" s="26"/>
      <c r="AA143" s="26"/>
      <c r="AB143" s="26"/>
      <c r="AC143" s="26"/>
      <c r="AD143" s="26"/>
      <c r="AE143" s="26"/>
      <c r="AF143" s="68"/>
      <c r="AG143" s="75"/>
      <c r="AH143" s="75"/>
      <c r="AI143" s="26"/>
      <c r="AJ143" s="26"/>
      <c r="AK143" s="26"/>
      <c r="AL143" s="26"/>
      <c r="AM143" s="26"/>
      <c r="AN143" s="26"/>
      <c r="AO143" s="26"/>
      <c r="AP143" s="26"/>
      <c r="AQ143" s="26"/>
      <c r="AR143" s="26"/>
      <c r="AS143" s="68"/>
      <c r="AT143" s="75"/>
      <c r="AU143" s="75"/>
      <c r="AV143" s="26"/>
      <c r="AW143" s="26"/>
      <c r="AX143" s="26"/>
      <c r="AY143" s="26"/>
      <c r="AZ143" s="26"/>
      <c r="BA143" s="26"/>
      <c r="BB143" s="26"/>
      <c r="BC143" s="26"/>
      <c r="BD143" s="26"/>
      <c r="BE143" s="26"/>
      <c r="BF143" s="68"/>
      <c r="BG143" s="26"/>
      <c r="BH143" s="26"/>
      <c r="BI143" s="26"/>
      <c r="BJ143" s="26"/>
      <c r="BK143" s="26"/>
      <c r="BL143" s="26"/>
      <c r="BM143" s="26"/>
      <c r="BN143" s="26"/>
      <c r="BO143" s="26"/>
      <c r="BP143" s="26"/>
      <c r="BQ143" s="26"/>
      <c r="BR143" s="26"/>
      <c r="BS143" s="26"/>
      <c r="BT143" s="26"/>
      <c r="BU143" s="26"/>
      <c r="BW143" s="1" t="s">
        <v>535</v>
      </c>
    </row>
    <row r="144" spans="12:75" x14ac:dyDescent="0.35">
      <c r="L144" s="26"/>
      <c r="M144" s="26"/>
      <c r="N144" s="26"/>
      <c r="O144" s="26"/>
      <c r="P144" s="26"/>
      <c r="Q144" s="26"/>
      <c r="R144" s="26"/>
      <c r="S144" s="26"/>
      <c r="T144" s="26"/>
      <c r="U144" s="26"/>
      <c r="V144" s="26"/>
      <c r="W144" s="26"/>
      <c r="X144" s="26"/>
      <c r="Y144" s="26"/>
      <c r="Z144" s="26"/>
      <c r="AA144" s="26"/>
      <c r="AB144" s="26"/>
      <c r="AC144" s="26"/>
      <c r="AD144" s="26"/>
      <c r="AE144" s="26"/>
      <c r="AF144" s="68"/>
      <c r="AG144" s="75"/>
      <c r="AH144" s="75"/>
      <c r="AI144" s="26"/>
      <c r="AJ144" s="26"/>
      <c r="AK144" s="26"/>
      <c r="AL144" s="26"/>
      <c r="AM144" s="26"/>
      <c r="AN144" s="26"/>
      <c r="AO144" s="26"/>
      <c r="AP144" s="26"/>
      <c r="AQ144" s="26"/>
      <c r="AR144" s="26"/>
      <c r="AS144" s="68"/>
      <c r="AT144" s="75"/>
      <c r="AU144" s="75"/>
      <c r="AV144" s="26"/>
      <c r="AW144" s="26"/>
      <c r="AX144" s="26"/>
      <c r="AY144" s="26"/>
      <c r="AZ144" s="26"/>
      <c r="BA144" s="26"/>
      <c r="BB144" s="26"/>
      <c r="BC144" s="26"/>
      <c r="BD144" s="26"/>
      <c r="BE144" s="26"/>
      <c r="BF144" s="68"/>
      <c r="BG144" s="26"/>
      <c r="BH144" s="26"/>
      <c r="BI144" s="26"/>
      <c r="BJ144" s="26"/>
      <c r="BK144" s="26"/>
      <c r="BL144" s="26"/>
      <c r="BM144" s="26"/>
      <c r="BN144" s="26"/>
      <c r="BO144" s="26"/>
      <c r="BP144" s="26"/>
      <c r="BQ144" s="26"/>
      <c r="BR144" s="26"/>
      <c r="BS144" s="26"/>
      <c r="BT144" s="26"/>
      <c r="BU144" s="26"/>
      <c r="BW144" s="1" t="s">
        <v>536</v>
      </c>
    </row>
    <row r="145" spans="12:75" x14ac:dyDescent="0.35">
      <c r="L145" s="26"/>
      <c r="M145" s="26"/>
      <c r="N145" s="26"/>
      <c r="O145" s="26"/>
      <c r="P145" s="26"/>
      <c r="Q145" s="26"/>
      <c r="R145" s="26"/>
      <c r="S145" s="26"/>
      <c r="T145" s="26"/>
      <c r="U145" s="26"/>
      <c r="V145" s="26"/>
      <c r="W145" s="26"/>
      <c r="X145" s="26"/>
      <c r="Y145" s="26"/>
      <c r="Z145" s="26"/>
      <c r="AA145" s="26"/>
      <c r="AB145" s="26"/>
      <c r="AC145" s="26"/>
      <c r="AD145" s="26"/>
      <c r="AE145" s="26"/>
      <c r="AF145" s="68"/>
      <c r="AG145" s="75"/>
      <c r="AH145" s="75"/>
      <c r="AI145" s="26"/>
      <c r="AJ145" s="26"/>
      <c r="AK145" s="26"/>
      <c r="AL145" s="26"/>
      <c r="AM145" s="26"/>
      <c r="AN145" s="26"/>
      <c r="AO145" s="26"/>
      <c r="AP145" s="26"/>
      <c r="AQ145" s="26"/>
      <c r="AR145" s="26"/>
      <c r="AS145" s="68"/>
      <c r="AT145" s="75"/>
      <c r="AU145" s="75"/>
      <c r="AV145" s="26"/>
      <c r="AW145" s="26"/>
      <c r="AX145" s="26"/>
      <c r="AY145" s="26"/>
      <c r="AZ145" s="26"/>
      <c r="BA145" s="26"/>
      <c r="BB145" s="26"/>
      <c r="BC145" s="26"/>
      <c r="BD145" s="26"/>
      <c r="BE145" s="26"/>
      <c r="BF145" s="68"/>
      <c r="BG145" s="26"/>
      <c r="BH145" s="26"/>
      <c r="BI145" s="26"/>
      <c r="BJ145" s="26"/>
      <c r="BK145" s="26"/>
      <c r="BL145" s="26"/>
      <c r="BM145" s="26"/>
      <c r="BN145" s="26"/>
      <c r="BO145" s="26"/>
      <c r="BP145" s="26"/>
      <c r="BQ145" s="26"/>
      <c r="BR145" s="26"/>
      <c r="BS145" s="26"/>
      <c r="BT145" s="26"/>
      <c r="BU145" s="26"/>
      <c r="BW145" s="1" t="s">
        <v>446</v>
      </c>
    </row>
    <row r="146" spans="12:75" x14ac:dyDescent="0.35">
      <c r="L146" s="26"/>
      <c r="M146" s="26"/>
      <c r="N146" s="26"/>
      <c r="O146" s="26"/>
      <c r="P146" s="26"/>
      <c r="Q146" s="26"/>
      <c r="R146" s="26"/>
      <c r="S146" s="26"/>
      <c r="T146" s="26"/>
      <c r="U146" s="26"/>
      <c r="V146" s="26"/>
      <c r="W146" s="26"/>
      <c r="X146" s="26"/>
      <c r="Y146" s="26"/>
      <c r="Z146" s="26"/>
      <c r="AA146" s="26"/>
      <c r="AB146" s="26"/>
      <c r="AC146" s="26"/>
      <c r="AD146" s="26"/>
      <c r="AE146" s="26"/>
      <c r="AF146" s="68"/>
      <c r="AG146" s="75"/>
      <c r="AH146" s="75"/>
      <c r="AI146" s="26"/>
      <c r="AJ146" s="26"/>
      <c r="AK146" s="26"/>
      <c r="AL146" s="26"/>
      <c r="AM146" s="26"/>
      <c r="AN146" s="26"/>
      <c r="AO146" s="26"/>
      <c r="AP146" s="26"/>
      <c r="AQ146" s="26"/>
      <c r="AR146" s="26"/>
      <c r="AS146" s="68"/>
      <c r="AT146" s="75"/>
      <c r="AU146" s="75"/>
      <c r="AV146" s="26"/>
      <c r="AW146" s="26"/>
      <c r="AX146" s="26"/>
      <c r="AY146" s="26"/>
      <c r="AZ146" s="26"/>
      <c r="BA146" s="26"/>
      <c r="BB146" s="26"/>
      <c r="BC146" s="26"/>
      <c r="BD146" s="26"/>
      <c r="BE146" s="26"/>
      <c r="BF146" s="68"/>
      <c r="BG146" s="26"/>
      <c r="BH146" s="26"/>
      <c r="BI146" s="26"/>
      <c r="BJ146" s="26"/>
      <c r="BK146" s="26"/>
      <c r="BL146" s="26"/>
      <c r="BM146" s="26"/>
      <c r="BN146" s="26"/>
      <c r="BO146" s="26"/>
      <c r="BP146" s="26"/>
      <c r="BQ146" s="26"/>
      <c r="BR146" s="26"/>
      <c r="BS146" s="26"/>
      <c r="BT146" s="26"/>
      <c r="BU146" s="26"/>
      <c r="BW146" s="1" t="s">
        <v>447</v>
      </c>
    </row>
    <row r="147" spans="12:75" x14ac:dyDescent="0.35">
      <c r="L147" s="26"/>
      <c r="M147" s="26"/>
      <c r="N147" s="26"/>
      <c r="O147" s="26"/>
      <c r="P147" s="26"/>
      <c r="Q147" s="26"/>
      <c r="R147" s="26"/>
      <c r="S147" s="26"/>
      <c r="T147" s="26"/>
      <c r="U147" s="26"/>
      <c r="V147" s="26"/>
      <c r="W147" s="26"/>
      <c r="X147" s="26"/>
      <c r="Y147" s="26"/>
      <c r="Z147" s="26"/>
      <c r="AA147" s="26"/>
      <c r="AB147" s="26"/>
      <c r="AC147" s="26"/>
      <c r="AD147" s="26"/>
      <c r="AE147" s="26"/>
      <c r="AF147" s="68"/>
      <c r="AG147" s="75"/>
      <c r="AH147" s="75"/>
      <c r="AI147" s="26"/>
      <c r="AJ147" s="26"/>
      <c r="AK147" s="26"/>
      <c r="AL147" s="26"/>
      <c r="AM147" s="26"/>
      <c r="AN147" s="26"/>
      <c r="AO147" s="26"/>
      <c r="AP147" s="26"/>
      <c r="AQ147" s="26"/>
      <c r="AR147" s="26"/>
      <c r="AS147" s="68"/>
      <c r="AT147" s="75"/>
      <c r="AU147" s="75"/>
      <c r="AV147" s="26"/>
      <c r="AW147" s="26"/>
      <c r="AX147" s="26"/>
      <c r="AY147" s="26"/>
      <c r="AZ147" s="26"/>
      <c r="BA147" s="26"/>
      <c r="BB147" s="26"/>
      <c r="BC147" s="26"/>
      <c r="BD147" s="26"/>
      <c r="BE147" s="26"/>
      <c r="BF147" s="68"/>
      <c r="BG147" s="26"/>
      <c r="BH147" s="26"/>
      <c r="BI147" s="26"/>
      <c r="BJ147" s="26"/>
      <c r="BK147" s="26"/>
      <c r="BL147" s="26"/>
      <c r="BM147" s="26"/>
      <c r="BN147" s="26"/>
      <c r="BO147" s="26"/>
      <c r="BP147" s="26"/>
      <c r="BQ147" s="26"/>
      <c r="BR147" s="26"/>
      <c r="BS147" s="26"/>
      <c r="BT147" s="26"/>
      <c r="BU147" s="26"/>
      <c r="BW147" s="1" t="s">
        <v>537</v>
      </c>
    </row>
    <row r="148" spans="12:75" x14ac:dyDescent="0.35">
      <c r="L148" s="26"/>
      <c r="M148" s="26"/>
      <c r="N148" s="26"/>
      <c r="O148" s="26"/>
      <c r="P148" s="26"/>
      <c r="Q148" s="26"/>
      <c r="R148" s="26"/>
      <c r="S148" s="26"/>
      <c r="T148" s="26"/>
      <c r="U148" s="26"/>
      <c r="V148" s="26"/>
      <c r="W148" s="26"/>
      <c r="X148" s="26"/>
      <c r="Y148" s="26"/>
      <c r="Z148" s="26"/>
      <c r="AA148" s="26"/>
      <c r="AB148" s="26"/>
      <c r="AC148" s="26"/>
      <c r="AD148" s="26"/>
      <c r="AE148" s="26"/>
      <c r="AF148" s="68"/>
      <c r="AG148" s="75"/>
      <c r="AH148" s="75"/>
      <c r="AI148" s="26"/>
      <c r="AJ148" s="26"/>
      <c r="AK148" s="26"/>
      <c r="AL148" s="26"/>
      <c r="AM148" s="26"/>
      <c r="AN148" s="26"/>
      <c r="AO148" s="26"/>
      <c r="AP148" s="26"/>
      <c r="AQ148" s="26"/>
      <c r="AR148" s="26"/>
      <c r="AS148" s="68"/>
      <c r="AT148" s="75"/>
      <c r="AU148" s="75"/>
      <c r="AV148" s="26"/>
      <c r="AW148" s="26"/>
      <c r="AX148" s="26"/>
      <c r="AY148" s="26"/>
      <c r="AZ148" s="26"/>
      <c r="BA148" s="26"/>
      <c r="BB148" s="26"/>
      <c r="BC148" s="26"/>
      <c r="BD148" s="26"/>
      <c r="BE148" s="26"/>
      <c r="BF148" s="68"/>
      <c r="BG148" s="26"/>
      <c r="BH148" s="26"/>
      <c r="BI148" s="26"/>
      <c r="BJ148" s="26"/>
      <c r="BK148" s="26"/>
      <c r="BL148" s="26"/>
      <c r="BM148" s="26"/>
      <c r="BN148" s="26"/>
      <c r="BO148" s="26"/>
      <c r="BP148" s="26"/>
      <c r="BQ148" s="26"/>
      <c r="BR148" s="26"/>
      <c r="BS148" s="26"/>
      <c r="BT148" s="26"/>
      <c r="BU148" s="26"/>
      <c r="BW148" s="1" t="s">
        <v>538</v>
      </c>
    </row>
    <row r="149" spans="12:75" x14ac:dyDescent="0.35">
      <c r="L149" s="26"/>
      <c r="M149" s="26"/>
      <c r="N149" s="26"/>
      <c r="O149" s="26"/>
      <c r="P149" s="26"/>
      <c r="Q149" s="26"/>
      <c r="R149" s="26"/>
      <c r="S149" s="26"/>
      <c r="T149" s="26"/>
      <c r="U149" s="26"/>
      <c r="V149" s="26"/>
      <c r="W149" s="26"/>
      <c r="X149" s="26"/>
      <c r="Y149" s="26"/>
      <c r="Z149" s="26"/>
      <c r="AA149" s="26"/>
      <c r="AB149" s="26"/>
      <c r="AC149" s="26"/>
      <c r="AD149" s="26"/>
      <c r="AE149" s="26"/>
      <c r="AF149" s="68"/>
      <c r="AG149" s="75"/>
      <c r="AH149" s="75"/>
      <c r="AI149" s="26"/>
      <c r="AJ149" s="26"/>
      <c r="AK149" s="26"/>
      <c r="AL149" s="26"/>
      <c r="AM149" s="26"/>
      <c r="AN149" s="26"/>
      <c r="AO149" s="26"/>
      <c r="AP149" s="26"/>
      <c r="AQ149" s="26"/>
      <c r="AR149" s="26"/>
      <c r="AS149" s="68"/>
      <c r="AT149" s="75"/>
      <c r="AU149" s="75"/>
      <c r="AV149" s="26"/>
      <c r="AW149" s="26"/>
      <c r="AX149" s="26"/>
      <c r="AY149" s="26"/>
      <c r="AZ149" s="26"/>
      <c r="BA149" s="26"/>
      <c r="BB149" s="26"/>
      <c r="BC149" s="26"/>
      <c r="BD149" s="26"/>
      <c r="BE149" s="26"/>
      <c r="BF149" s="68"/>
      <c r="BG149" s="26"/>
      <c r="BH149" s="26"/>
      <c r="BI149" s="26"/>
      <c r="BJ149" s="26"/>
      <c r="BK149" s="26"/>
      <c r="BL149" s="26"/>
      <c r="BM149" s="26"/>
      <c r="BN149" s="26"/>
      <c r="BO149" s="26"/>
      <c r="BP149" s="26"/>
      <c r="BQ149" s="26"/>
      <c r="BR149" s="26"/>
      <c r="BS149" s="26"/>
      <c r="BT149" s="26"/>
      <c r="BU149" s="26"/>
      <c r="BW149" s="1"/>
    </row>
    <row r="150" spans="12:75" x14ac:dyDescent="0.35">
      <c r="L150" s="26"/>
      <c r="M150" s="26"/>
      <c r="N150" s="26"/>
      <c r="O150" s="26"/>
      <c r="P150" s="26"/>
      <c r="Q150" s="26"/>
      <c r="R150" s="26"/>
      <c r="S150" s="26"/>
      <c r="T150" s="26"/>
      <c r="U150" s="26"/>
      <c r="V150" s="26"/>
      <c r="W150" s="26"/>
      <c r="X150" s="26"/>
      <c r="Y150" s="26"/>
      <c r="Z150" s="26"/>
      <c r="AA150" s="26"/>
      <c r="AB150" s="26"/>
      <c r="AC150" s="26"/>
      <c r="AD150" s="26"/>
      <c r="AE150" s="26"/>
      <c r="AF150" s="68"/>
      <c r="AG150" s="75"/>
      <c r="AH150" s="75"/>
      <c r="AI150" s="26"/>
      <c r="AJ150" s="26"/>
      <c r="AK150" s="26"/>
      <c r="AL150" s="26"/>
      <c r="AM150" s="26"/>
      <c r="AN150" s="26"/>
      <c r="AO150" s="26"/>
      <c r="AP150" s="26"/>
      <c r="AQ150" s="26"/>
      <c r="AR150" s="26"/>
      <c r="AS150" s="68"/>
      <c r="AT150" s="75"/>
      <c r="AU150" s="75"/>
      <c r="AV150" s="26"/>
      <c r="AW150" s="26"/>
      <c r="AX150" s="26"/>
      <c r="AY150" s="26"/>
      <c r="AZ150" s="26"/>
      <c r="BA150" s="26"/>
      <c r="BB150" s="26"/>
      <c r="BC150" s="26"/>
      <c r="BD150" s="26"/>
      <c r="BE150" s="26"/>
      <c r="BF150" s="68"/>
      <c r="BG150" s="26"/>
      <c r="BH150" s="26"/>
      <c r="BI150" s="26"/>
      <c r="BJ150" s="26"/>
      <c r="BK150" s="26"/>
      <c r="BL150" s="26"/>
      <c r="BM150" s="26"/>
      <c r="BN150" s="26"/>
      <c r="BO150" s="26"/>
      <c r="BP150" s="26"/>
      <c r="BQ150" s="26"/>
      <c r="BR150" s="26"/>
      <c r="BS150" s="26"/>
      <c r="BT150" s="26"/>
      <c r="BU150" s="26"/>
      <c r="BW150" s="1" t="s">
        <v>540</v>
      </c>
    </row>
    <row r="151" spans="12:75" x14ac:dyDescent="0.35">
      <c r="L151" s="26"/>
      <c r="M151" s="26"/>
      <c r="N151" s="26"/>
      <c r="O151" s="26"/>
      <c r="P151" s="26"/>
      <c r="Q151" s="26"/>
      <c r="R151" s="26"/>
      <c r="S151" s="26"/>
      <c r="T151" s="26"/>
      <c r="U151" s="26"/>
      <c r="V151" s="26"/>
      <c r="W151" s="26"/>
      <c r="X151" s="26"/>
      <c r="Y151" s="26"/>
      <c r="Z151" s="26"/>
      <c r="AA151" s="26"/>
      <c r="AB151" s="26"/>
      <c r="AC151" s="26"/>
      <c r="AD151" s="26"/>
      <c r="AE151" s="26"/>
      <c r="AF151" s="68"/>
      <c r="AG151" s="75"/>
      <c r="AH151" s="75"/>
      <c r="AI151" s="26"/>
      <c r="AJ151" s="26"/>
      <c r="AK151" s="26"/>
      <c r="AL151" s="26"/>
      <c r="AM151" s="26"/>
      <c r="AN151" s="26"/>
      <c r="AO151" s="26"/>
      <c r="AP151" s="26"/>
      <c r="AQ151" s="26"/>
      <c r="AR151" s="26"/>
      <c r="AS151" s="68"/>
      <c r="AT151" s="75"/>
      <c r="AU151" s="75"/>
      <c r="AV151" s="26"/>
      <c r="AW151" s="26"/>
      <c r="AX151" s="26"/>
      <c r="AY151" s="26"/>
      <c r="AZ151" s="26"/>
      <c r="BA151" s="26"/>
      <c r="BB151" s="26"/>
      <c r="BC151" s="26"/>
      <c r="BD151" s="26"/>
      <c r="BE151" s="26"/>
      <c r="BF151" s="68"/>
      <c r="BG151" s="26"/>
      <c r="BH151" s="26"/>
      <c r="BI151" s="26"/>
      <c r="BJ151" s="26"/>
      <c r="BK151" s="26"/>
      <c r="BL151" s="26"/>
      <c r="BM151" s="26"/>
      <c r="BN151" s="26"/>
      <c r="BO151" s="26"/>
      <c r="BP151" s="26"/>
      <c r="BQ151" s="26"/>
      <c r="BR151" s="26"/>
      <c r="BS151" s="26"/>
      <c r="BT151" s="26"/>
      <c r="BU151" s="26"/>
      <c r="BW151" s="1" t="s">
        <v>541</v>
      </c>
    </row>
    <row r="152" spans="12:75" x14ac:dyDescent="0.35">
      <c r="L152" s="26"/>
      <c r="M152" s="26"/>
      <c r="N152" s="26"/>
      <c r="O152" s="26"/>
      <c r="P152" s="26"/>
      <c r="Q152" s="26"/>
      <c r="R152" s="26"/>
      <c r="S152" s="26"/>
      <c r="T152" s="26"/>
      <c r="U152" s="26"/>
      <c r="V152" s="26"/>
      <c r="W152" s="26"/>
      <c r="X152" s="26"/>
      <c r="Y152" s="26"/>
      <c r="Z152" s="26"/>
      <c r="AA152" s="26"/>
      <c r="AB152" s="26"/>
      <c r="AC152" s="26"/>
      <c r="AD152" s="26"/>
      <c r="AE152" s="26"/>
      <c r="AF152" s="68"/>
      <c r="AG152" s="75"/>
      <c r="AH152" s="75"/>
      <c r="AI152" s="26"/>
      <c r="AJ152" s="26"/>
      <c r="AK152" s="26"/>
      <c r="AL152" s="26"/>
      <c r="AM152" s="26"/>
      <c r="AN152" s="26"/>
      <c r="AO152" s="26"/>
      <c r="AP152" s="26"/>
      <c r="AQ152" s="26"/>
      <c r="AR152" s="26"/>
      <c r="AS152" s="68"/>
      <c r="AT152" s="75"/>
      <c r="AU152" s="75"/>
      <c r="AV152" s="26"/>
      <c r="AW152" s="26"/>
      <c r="AX152" s="26"/>
      <c r="AY152" s="26"/>
      <c r="AZ152" s="26"/>
      <c r="BA152" s="26"/>
      <c r="BB152" s="26"/>
      <c r="BC152" s="26"/>
      <c r="BD152" s="26"/>
      <c r="BE152" s="26"/>
      <c r="BF152" s="68"/>
      <c r="BG152" s="26"/>
      <c r="BH152" s="26"/>
      <c r="BI152" s="26"/>
      <c r="BJ152" s="26"/>
      <c r="BK152" s="26"/>
      <c r="BL152" s="26"/>
      <c r="BM152" s="26"/>
      <c r="BN152" s="26"/>
      <c r="BO152" s="26"/>
      <c r="BP152" s="26"/>
      <c r="BQ152" s="26"/>
      <c r="BR152" s="26"/>
      <c r="BS152" s="26"/>
      <c r="BT152" s="26"/>
      <c r="BU152" s="26"/>
      <c r="BW152" s="1" t="s">
        <v>542</v>
      </c>
    </row>
    <row r="153" spans="12:75" x14ac:dyDescent="0.35">
      <c r="L153" s="26"/>
      <c r="M153" s="26"/>
      <c r="N153" s="26"/>
      <c r="O153" s="26"/>
      <c r="P153" s="26"/>
      <c r="Q153" s="26"/>
      <c r="R153" s="26"/>
      <c r="S153" s="26"/>
      <c r="T153" s="26"/>
      <c r="U153" s="26"/>
      <c r="V153" s="26"/>
      <c r="W153" s="26"/>
      <c r="X153" s="26"/>
      <c r="Y153" s="26"/>
      <c r="Z153" s="26"/>
      <c r="AA153" s="26"/>
      <c r="AB153" s="26"/>
      <c r="AC153" s="26"/>
      <c r="AD153" s="26"/>
      <c r="AE153" s="26"/>
      <c r="AF153" s="68"/>
      <c r="AG153" s="75"/>
      <c r="AH153" s="75"/>
      <c r="AI153" s="26"/>
      <c r="AJ153" s="26"/>
      <c r="AK153" s="26"/>
      <c r="AL153" s="26"/>
      <c r="AM153" s="26"/>
      <c r="AN153" s="26"/>
      <c r="AO153" s="26"/>
      <c r="AP153" s="26"/>
      <c r="AQ153" s="26"/>
      <c r="AR153" s="26"/>
      <c r="AS153" s="68"/>
      <c r="AT153" s="75"/>
      <c r="AU153" s="75"/>
      <c r="AV153" s="26"/>
      <c r="AW153" s="26"/>
      <c r="AX153" s="26"/>
      <c r="AY153" s="26"/>
      <c r="AZ153" s="26"/>
      <c r="BA153" s="26"/>
      <c r="BB153" s="26"/>
      <c r="BC153" s="26"/>
      <c r="BD153" s="26"/>
      <c r="BE153" s="26"/>
      <c r="BF153" s="68"/>
      <c r="BG153" s="26"/>
      <c r="BH153" s="26"/>
      <c r="BI153" s="26"/>
      <c r="BJ153" s="26"/>
      <c r="BK153" s="26"/>
      <c r="BL153" s="26"/>
      <c r="BM153" s="26"/>
      <c r="BN153" s="26"/>
      <c r="BO153" s="26"/>
      <c r="BP153" s="26"/>
      <c r="BQ153" s="26"/>
      <c r="BR153" s="26"/>
      <c r="BS153" s="26"/>
      <c r="BT153" s="26"/>
      <c r="BU153" s="26"/>
      <c r="BW153" s="1" t="s">
        <v>543</v>
      </c>
    </row>
    <row r="154" spans="12:75" x14ac:dyDescent="0.35">
      <c r="L154" s="26"/>
      <c r="M154" s="26"/>
      <c r="N154" s="26"/>
      <c r="O154" s="26"/>
      <c r="P154" s="26"/>
      <c r="Q154" s="26"/>
      <c r="R154" s="26"/>
      <c r="S154" s="26"/>
      <c r="T154" s="26"/>
      <c r="U154" s="26"/>
      <c r="V154" s="26"/>
      <c r="W154" s="26"/>
      <c r="X154" s="26"/>
      <c r="Y154" s="26"/>
      <c r="Z154" s="26"/>
      <c r="AA154" s="26"/>
      <c r="AB154" s="26"/>
      <c r="AC154" s="26"/>
      <c r="AD154" s="26"/>
      <c r="AE154" s="26"/>
      <c r="AF154" s="68"/>
      <c r="AG154" s="75"/>
      <c r="AH154" s="75"/>
      <c r="AI154" s="26"/>
      <c r="AJ154" s="26"/>
      <c r="AK154" s="26"/>
      <c r="AL154" s="26"/>
      <c r="AM154" s="26"/>
      <c r="AN154" s="26"/>
      <c r="AO154" s="26"/>
      <c r="AP154" s="26"/>
      <c r="AQ154" s="26"/>
      <c r="AR154" s="26"/>
      <c r="AS154" s="68"/>
      <c r="AT154" s="75"/>
      <c r="AU154" s="75"/>
      <c r="AV154" s="26"/>
      <c r="AW154" s="26"/>
      <c r="AX154" s="26"/>
      <c r="AY154" s="26"/>
      <c r="AZ154" s="26"/>
      <c r="BA154" s="26"/>
      <c r="BB154" s="26"/>
      <c r="BC154" s="26"/>
      <c r="BD154" s="26"/>
      <c r="BE154" s="26"/>
      <c r="BF154" s="68"/>
      <c r="BG154" s="26"/>
      <c r="BH154" s="26"/>
      <c r="BI154" s="26"/>
      <c r="BJ154" s="26"/>
      <c r="BK154" s="26"/>
      <c r="BL154" s="26"/>
      <c r="BM154" s="26"/>
      <c r="BN154" s="26"/>
      <c r="BO154" s="26"/>
      <c r="BP154" s="26"/>
      <c r="BQ154" s="26"/>
      <c r="BR154" s="26"/>
      <c r="BS154" s="26"/>
      <c r="BT154" s="26"/>
      <c r="BU154" s="26"/>
      <c r="BW154" s="1" t="s">
        <v>544</v>
      </c>
    </row>
    <row r="155" spans="12:75" x14ac:dyDescent="0.35">
      <c r="L155" s="26"/>
      <c r="M155" s="26"/>
      <c r="N155" s="26"/>
      <c r="O155" s="26"/>
      <c r="P155" s="26"/>
      <c r="Q155" s="26"/>
      <c r="R155" s="26"/>
      <c r="S155" s="26"/>
      <c r="T155" s="26"/>
      <c r="U155" s="26"/>
      <c r="V155" s="26"/>
      <c r="W155" s="26"/>
      <c r="X155" s="26"/>
      <c r="Y155" s="26"/>
      <c r="Z155" s="26"/>
      <c r="AA155" s="26"/>
      <c r="AB155" s="26"/>
      <c r="AC155" s="26"/>
      <c r="AD155" s="26"/>
      <c r="AE155" s="26"/>
      <c r="AF155" s="68"/>
      <c r="AG155" s="75"/>
      <c r="AH155" s="75"/>
      <c r="AI155" s="26"/>
      <c r="AJ155" s="26"/>
      <c r="AK155" s="26"/>
      <c r="AL155" s="26"/>
      <c r="AM155" s="26"/>
      <c r="AN155" s="26"/>
      <c r="AO155" s="26"/>
      <c r="AP155" s="26"/>
      <c r="AQ155" s="26"/>
      <c r="AR155" s="26"/>
      <c r="AS155" s="68"/>
      <c r="AT155" s="75"/>
      <c r="AU155" s="75"/>
      <c r="AV155" s="26"/>
      <c r="AW155" s="26"/>
      <c r="AX155" s="26"/>
      <c r="AY155" s="26"/>
      <c r="AZ155" s="26"/>
      <c r="BA155" s="26"/>
      <c r="BB155" s="26"/>
      <c r="BC155" s="26"/>
      <c r="BD155" s="26"/>
      <c r="BE155" s="26"/>
      <c r="BF155" s="68"/>
      <c r="BG155" s="26"/>
      <c r="BH155" s="26"/>
      <c r="BI155" s="26"/>
      <c r="BJ155" s="26"/>
      <c r="BK155" s="26"/>
      <c r="BL155" s="26"/>
      <c r="BM155" s="26"/>
      <c r="BN155" s="26"/>
      <c r="BO155" s="26"/>
      <c r="BP155" s="26"/>
      <c r="BQ155" s="26"/>
      <c r="BR155" s="26"/>
      <c r="BS155" s="26"/>
      <c r="BT155" s="26"/>
      <c r="BU155" s="26"/>
      <c r="BW155" s="1" t="s">
        <v>545</v>
      </c>
    </row>
    <row r="156" spans="12:75" x14ac:dyDescent="0.35">
      <c r="L156" s="26"/>
      <c r="M156" s="26"/>
      <c r="N156" s="26"/>
      <c r="O156" s="26"/>
      <c r="P156" s="26"/>
      <c r="Q156" s="26"/>
      <c r="R156" s="26"/>
      <c r="S156" s="26"/>
      <c r="T156" s="26"/>
      <c r="U156" s="26"/>
      <c r="V156" s="26"/>
      <c r="W156" s="26"/>
      <c r="X156" s="26"/>
      <c r="Y156" s="26"/>
      <c r="Z156" s="26"/>
      <c r="AA156" s="26"/>
      <c r="AB156" s="26"/>
      <c r="AC156" s="26"/>
      <c r="AD156" s="26"/>
      <c r="AE156" s="26"/>
      <c r="AF156" s="68"/>
      <c r="AG156" s="75"/>
      <c r="AH156" s="75"/>
      <c r="AI156" s="26"/>
      <c r="AJ156" s="26"/>
      <c r="AK156" s="26"/>
      <c r="AL156" s="26"/>
      <c r="AM156" s="26"/>
      <c r="AN156" s="26"/>
      <c r="AO156" s="26"/>
      <c r="AP156" s="26"/>
      <c r="AQ156" s="26"/>
      <c r="AR156" s="26"/>
      <c r="AS156" s="68"/>
      <c r="AT156" s="75"/>
      <c r="AU156" s="75"/>
      <c r="AV156" s="26"/>
      <c r="AW156" s="26"/>
      <c r="AX156" s="26"/>
      <c r="AY156" s="26"/>
      <c r="AZ156" s="26"/>
      <c r="BA156" s="26"/>
      <c r="BB156" s="26"/>
      <c r="BC156" s="26"/>
      <c r="BD156" s="26"/>
      <c r="BE156" s="26"/>
      <c r="BF156" s="68"/>
      <c r="BG156" s="26"/>
      <c r="BH156" s="26"/>
      <c r="BI156" s="26"/>
      <c r="BJ156" s="26"/>
      <c r="BK156" s="26"/>
      <c r="BL156" s="26"/>
      <c r="BM156" s="26"/>
      <c r="BN156" s="26"/>
      <c r="BO156" s="26"/>
      <c r="BP156" s="26"/>
      <c r="BQ156" s="26"/>
      <c r="BR156" s="26"/>
      <c r="BS156" s="26"/>
      <c r="BT156" s="26"/>
      <c r="BU156" s="26"/>
      <c r="BW156" s="1" t="s">
        <v>546</v>
      </c>
    </row>
    <row r="157" spans="12:75" x14ac:dyDescent="0.35">
      <c r="L157" s="26"/>
      <c r="M157" s="26"/>
      <c r="N157" s="26"/>
      <c r="O157" s="26"/>
      <c r="P157" s="26"/>
      <c r="Q157" s="26"/>
      <c r="R157" s="26"/>
      <c r="S157" s="26"/>
      <c r="T157" s="26"/>
      <c r="U157" s="26"/>
      <c r="V157" s="26"/>
      <c r="W157" s="26"/>
      <c r="X157" s="26"/>
      <c r="Y157" s="26"/>
      <c r="Z157" s="26"/>
      <c r="AA157" s="26"/>
      <c r="AB157" s="26"/>
      <c r="AC157" s="26"/>
      <c r="AD157" s="26"/>
      <c r="AE157" s="26"/>
      <c r="AF157" s="68"/>
      <c r="AG157" s="75"/>
      <c r="AH157" s="75"/>
      <c r="AI157" s="26"/>
      <c r="AJ157" s="26"/>
      <c r="AK157" s="26"/>
      <c r="AL157" s="26"/>
      <c r="AM157" s="26"/>
      <c r="AN157" s="26"/>
      <c r="AO157" s="26"/>
      <c r="AP157" s="26"/>
      <c r="AQ157" s="26"/>
      <c r="AR157" s="26"/>
      <c r="AS157" s="68"/>
      <c r="AT157" s="75"/>
      <c r="AU157" s="75"/>
      <c r="AV157" s="26"/>
      <c r="AW157" s="26"/>
      <c r="AX157" s="26"/>
      <c r="AY157" s="26"/>
      <c r="AZ157" s="26"/>
      <c r="BA157" s="26"/>
      <c r="BB157" s="26"/>
      <c r="BC157" s="26"/>
      <c r="BD157" s="26"/>
      <c r="BE157" s="26"/>
      <c r="BF157" s="68"/>
      <c r="BG157" s="26"/>
      <c r="BH157" s="26"/>
      <c r="BI157" s="26"/>
      <c r="BJ157" s="26"/>
      <c r="BK157" s="26"/>
      <c r="BL157" s="26"/>
      <c r="BM157" s="26"/>
      <c r="BN157" s="26"/>
      <c r="BO157" s="26"/>
      <c r="BP157" s="26"/>
      <c r="BQ157" s="26"/>
      <c r="BR157" s="26"/>
      <c r="BS157" s="26"/>
      <c r="BT157" s="26"/>
      <c r="BU157" s="26"/>
      <c r="BW157" s="1" t="s">
        <v>547</v>
      </c>
    </row>
    <row r="158" spans="12:75" x14ac:dyDescent="0.35">
      <c r="L158" s="26"/>
      <c r="M158" s="26"/>
      <c r="N158" s="26"/>
      <c r="O158" s="26"/>
      <c r="P158" s="26"/>
      <c r="Q158" s="26"/>
      <c r="R158" s="26"/>
      <c r="S158" s="26"/>
      <c r="T158" s="26"/>
      <c r="U158" s="26"/>
      <c r="V158" s="26"/>
      <c r="W158" s="26"/>
      <c r="X158" s="26"/>
      <c r="Y158" s="26"/>
      <c r="Z158" s="26"/>
      <c r="AA158" s="26"/>
      <c r="AB158" s="26"/>
      <c r="AC158" s="26"/>
      <c r="AD158" s="26"/>
      <c r="AE158" s="26"/>
      <c r="AF158" s="68"/>
      <c r="AG158" s="75"/>
      <c r="AH158" s="75"/>
      <c r="AI158" s="26"/>
      <c r="AJ158" s="26"/>
      <c r="AK158" s="26"/>
      <c r="AL158" s="26"/>
      <c r="AM158" s="26"/>
      <c r="AN158" s="26"/>
      <c r="AO158" s="26"/>
      <c r="AP158" s="26"/>
      <c r="AQ158" s="26"/>
      <c r="AR158" s="26"/>
      <c r="AS158" s="68"/>
      <c r="AT158" s="75"/>
      <c r="AU158" s="75"/>
      <c r="AV158" s="26"/>
      <c r="AW158" s="26"/>
      <c r="AX158" s="26"/>
      <c r="AY158" s="26"/>
      <c r="AZ158" s="26"/>
      <c r="BA158" s="26"/>
      <c r="BB158" s="26"/>
      <c r="BC158" s="26"/>
      <c r="BD158" s="26"/>
      <c r="BE158" s="26"/>
      <c r="BF158" s="68"/>
      <c r="BG158" s="26"/>
      <c r="BH158" s="26"/>
      <c r="BI158" s="26"/>
      <c r="BJ158" s="26"/>
      <c r="BK158" s="26"/>
      <c r="BL158" s="26"/>
      <c r="BM158" s="26"/>
      <c r="BN158" s="26"/>
      <c r="BO158" s="26"/>
      <c r="BP158" s="26"/>
      <c r="BQ158" s="26"/>
      <c r="BR158" s="26"/>
      <c r="BS158" s="26"/>
      <c r="BT158" s="26"/>
      <c r="BU158" s="26"/>
    </row>
    <row r="159" spans="12:75" x14ac:dyDescent="0.35">
      <c r="L159" s="26"/>
      <c r="M159" s="26"/>
      <c r="N159" s="26"/>
      <c r="O159" s="26"/>
      <c r="P159" s="26"/>
      <c r="Q159" s="26"/>
      <c r="R159" s="26"/>
      <c r="S159" s="26"/>
      <c r="T159" s="26"/>
      <c r="U159" s="26"/>
      <c r="V159" s="26"/>
      <c r="W159" s="26"/>
      <c r="X159" s="26"/>
      <c r="Y159" s="26"/>
      <c r="Z159" s="26"/>
      <c r="AA159" s="26"/>
      <c r="AB159" s="26"/>
      <c r="AC159" s="26"/>
      <c r="AD159" s="26"/>
      <c r="AE159" s="26"/>
      <c r="AF159" s="68"/>
      <c r="AG159" s="75"/>
      <c r="AH159" s="75"/>
      <c r="AI159" s="26"/>
      <c r="AJ159" s="26"/>
      <c r="AK159" s="26"/>
      <c r="AL159" s="26"/>
      <c r="AM159" s="26"/>
      <c r="AN159" s="26"/>
      <c r="AO159" s="26"/>
      <c r="AP159" s="26"/>
      <c r="AQ159" s="26"/>
      <c r="AR159" s="26"/>
      <c r="AS159" s="68"/>
      <c r="AT159" s="75"/>
      <c r="AU159" s="75"/>
      <c r="AV159" s="26"/>
      <c r="AW159" s="26"/>
      <c r="AX159" s="26"/>
      <c r="AY159" s="26"/>
      <c r="AZ159" s="26"/>
      <c r="BA159" s="26"/>
      <c r="BB159" s="26"/>
      <c r="BC159" s="26"/>
      <c r="BD159" s="26"/>
      <c r="BE159" s="26"/>
      <c r="BF159" s="68"/>
      <c r="BG159" s="26"/>
      <c r="BH159" s="26"/>
      <c r="BI159" s="26"/>
      <c r="BJ159" s="26"/>
      <c r="BK159" s="26"/>
      <c r="BL159" s="26"/>
      <c r="BM159" s="26"/>
      <c r="BN159" s="26"/>
      <c r="BO159" s="26"/>
      <c r="BP159" s="26"/>
      <c r="BQ159" s="26"/>
      <c r="BR159" s="26"/>
      <c r="BS159" s="26"/>
      <c r="BT159" s="26"/>
      <c r="BU159" s="26"/>
      <c r="BW159" s="41" t="s">
        <v>559</v>
      </c>
    </row>
    <row r="160" spans="12:75" x14ac:dyDescent="0.35">
      <c r="L160" s="26"/>
      <c r="M160" s="26"/>
      <c r="N160" s="26"/>
      <c r="O160" s="26"/>
      <c r="P160" s="26"/>
      <c r="Q160" s="26"/>
      <c r="R160" s="26"/>
      <c r="S160" s="26"/>
      <c r="T160" s="26"/>
      <c r="U160" s="26"/>
      <c r="V160" s="26"/>
      <c r="W160" s="26"/>
      <c r="X160" s="26"/>
      <c r="Y160" s="26"/>
      <c r="Z160" s="26"/>
      <c r="AA160" s="26"/>
      <c r="AB160" s="26"/>
      <c r="AC160" s="26"/>
      <c r="AD160" s="26"/>
      <c r="AE160" s="26"/>
      <c r="AF160" s="68"/>
      <c r="AG160" s="75"/>
      <c r="AH160" s="75"/>
      <c r="AI160" s="26"/>
      <c r="AJ160" s="26"/>
      <c r="AK160" s="26"/>
      <c r="AL160" s="26"/>
      <c r="AM160" s="26"/>
      <c r="AN160" s="26"/>
      <c r="AO160" s="26"/>
      <c r="AP160" s="26"/>
      <c r="AQ160" s="26"/>
      <c r="AR160" s="26"/>
      <c r="AS160" s="68"/>
      <c r="AT160" s="75"/>
      <c r="AU160" s="75"/>
      <c r="AV160" s="26"/>
      <c r="AW160" s="26"/>
      <c r="AX160" s="26"/>
      <c r="AY160" s="26"/>
      <c r="AZ160" s="26"/>
      <c r="BA160" s="26"/>
      <c r="BB160" s="26"/>
      <c r="BC160" s="26"/>
      <c r="BD160" s="26"/>
      <c r="BE160" s="26"/>
      <c r="BF160" s="68"/>
      <c r="BG160" s="26"/>
      <c r="BH160" s="26"/>
      <c r="BI160" s="26"/>
      <c r="BJ160" s="26"/>
      <c r="BK160" s="26"/>
      <c r="BL160" s="26"/>
      <c r="BM160" s="26"/>
      <c r="BN160" s="26"/>
      <c r="BO160" s="26"/>
      <c r="BP160" s="26"/>
      <c r="BQ160" s="26"/>
      <c r="BR160" s="26"/>
      <c r="BS160" s="26"/>
      <c r="BT160" s="26"/>
      <c r="BU160" s="26"/>
      <c r="BW160" s="1" t="s">
        <v>549</v>
      </c>
    </row>
    <row r="161" spans="12:75" x14ac:dyDescent="0.35">
      <c r="L161" s="26"/>
      <c r="M161" s="26"/>
      <c r="N161" s="26"/>
      <c r="O161" s="26"/>
      <c r="P161" s="26"/>
      <c r="Q161" s="26"/>
      <c r="R161" s="26"/>
      <c r="S161" s="26"/>
      <c r="T161" s="26"/>
      <c r="U161" s="26"/>
      <c r="V161" s="26"/>
      <c r="W161" s="26"/>
      <c r="X161" s="26"/>
      <c r="Y161" s="26"/>
      <c r="Z161" s="26"/>
      <c r="AA161" s="26"/>
      <c r="AB161" s="26"/>
      <c r="AC161" s="26"/>
      <c r="AD161" s="26"/>
      <c r="AE161" s="26"/>
      <c r="AF161" s="68"/>
      <c r="AG161" s="75"/>
      <c r="AH161" s="75"/>
      <c r="AI161" s="26"/>
      <c r="AJ161" s="26"/>
      <c r="AK161" s="26"/>
      <c r="AL161" s="26"/>
      <c r="AM161" s="26"/>
      <c r="AN161" s="26"/>
      <c r="AO161" s="26"/>
      <c r="AP161" s="26"/>
      <c r="AQ161" s="26"/>
      <c r="AR161" s="26"/>
      <c r="AS161" s="68"/>
      <c r="AT161" s="75"/>
      <c r="AU161" s="75"/>
      <c r="AV161" s="26"/>
      <c r="AW161" s="26"/>
      <c r="AX161" s="26"/>
      <c r="AY161" s="26"/>
      <c r="AZ161" s="26"/>
      <c r="BA161" s="26"/>
      <c r="BB161" s="26"/>
      <c r="BC161" s="26"/>
      <c r="BD161" s="26"/>
      <c r="BE161" s="26"/>
      <c r="BF161" s="68"/>
      <c r="BG161" s="26"/>
      <c r="BH161" s="26"/>
      <c r="BI161" s="26"/>
      <c r="BJ161" s="26"/>
      <c r="BK161" s="26"/>
      <c r="BL161" s="26"/>
      <c r="BM161" s="26"/>
      <c r="BN161" s="26"/>
      <c r="BO161" s="26"/>
      <c r="BP161" s="26"/>
      <c r="BQ161" s="26"/>
      <c r="BR161" s="26"/>
      <c r="BS161" s="26"/>
      <c r="BT161" s="26"/>
      <c r="BU161" s="26"/>
      <c r="BW161" s="1" t="s">
        <v>550</v>
      </c>
    </row>
    <row r="162" spans="12:75" x14ac:dyDescent="0.35">
      <c r="L162" s="26"/>
      <c r="M162" s="26"/>
      <c r="N162" s="26"/>
      <c r="O162" s="26"/>
      <c r="P162" s="26"/>
      <c r="Q162" s="26"/>
      <c r="R162" s="26"/>
      <c r="S162" s="26"/>
      <c r="T162" s="26"/>
      <c r="U162" s="26"/>
      <c r="V162" s="26"/>
      <c r="W162" s="26"/>
      <c r="X162" s="26"/>
      <c r="Y162" s="26"/>
      <c r="Z162" s="26"/>
      <c r="AA162" s="26"/>
      <c r="AB162" s="26"/>
      <c r="AC162" s="26"/>
      <c r="AD162" s="26"/>
      <c r="AE162" s="26"/>
      <c r="AF162" s="68"/>
      <c r="AG162" s="75"/>
      <c r="AH162" s="75"/>
      <c r="AI162" s="26"/>
      <c r="AJ162" s="26"/>
      <c r="AK162" s="26"/>
      <c r="AL162" s="26"/>
      <c r="AM162" s="26"/>
      <c r="AN162" s="26"/>
      <c r="AO162" s="26"/>
      <c r="AP162" s="26"/>
      <c r="AQ162" s="26"/>
      <c r="AR162" s="26"/>
      <c r="AS162" s="68"/>
      <c r="AT162" s="75"/>
      <c r="AU162" s="75"/>
      <c r="AV162" s="26"/>
      <c r="AW162" s="26"/>
      <c r="AX162" s="26"/>
      <c r="AY162" s="26"/>
      <c r="AZ162" s="26"/>
      <c r="BA162" s="26"/>
      <c r="BB162" s="26"/>
      <c r="BC162" s="26"/>
      <c r="BD162" s="26"/>
      <c r="BE162" s="26"/>
      <c r="BF162" s="68"/>
      <c r="BG162" s="26"/>
      <c r="BH162" s="26"/>
      <c r="BI162" s="26"/>
      <c r="BJ162" s="26"/>
      <c r="BK162" s="26"/>
      <c r="BL162" s="26"/>
      <c r="BM162" s="26"/>
      <c r="BN162" s="26"/>
      <c r="BO162" s="26"/>
      <c r="BP162" s="26"/>
      <c r="BQ162" s="26"/>
      <c r="BR162" s="26"/>
      <c r="BS162" s="26"/>
      <c r="BT162" s="26"/>
      <c r="BU162" s="26"/>
      <c r="BW162" s="1" t="s">
        <v>551</v>
      </c>
    </row>
    <row r="163" spans="12:75" x14ac:dyDescent="0.35">
      <c r="L163" s="26"/>
      <c r="M163" s="26"/>
      <c r="N163" s="26"/>
      <c r="O163" s="26"/>
      <c r="P163" s="26"/>
      <c r="Q163" s="26"/>
      <c r="R163" s="26"/>
      <c r="S163" s="26"/>
      <c r="T163" s="26"/>
      <c r="U163" s="26"/>
      <c r="V163" s="26"/>
      <c r="W163" s="26"/>
      <c r="X163" s="26"/>
      <c r="Y163" s="26"/>
      <c r="Z163" s="26"/>
      <c r="AA163" s="26"/>
      <c r="AB163" s="26"/>
      <c r="AC163" s="26"/>
      <c r="AD163" s="26"/>
      <c r="AE163" s="26"/>
      <c r="AF163" s="68"/>
      <c r="AG163" s="75"/>
      <c r="AH163" s="75"/>
      <c r="AI163" s="26"/>
      <c r="AJ163" s="26"/>
      <c r="AK163" s="26"/>
      <c r="AL163" s="26"/>
      <c r="AM163" s="26"/>
      <c r="AN163" s="26"/>
      <c r="AO163" s="26"/>
      <c r="AP163" s="26"/>
      <c r="AQ163" s="26"/>
      <c r="AR163" s="26"/>
      <c r="AS163" s="68"/>
      <c r="AT163" s="75"/>
      <c r="AU163" s="75"/>
      <c r="AV163" s="26"/>
      <c r="AW163" s="26"/>
      <c r="AX163" s="26"/>
      <c r="AY163" s="26"/>
      <c r="AZ163" s="26"/>
      <c r="BA163" s="26"/>
      <c r="BB163" s="26"/>
      <c r="BC163" s="26"/>
      <c r="BD163" s="26"/>
      <c r="BE163" s="26"/>
      <c r="BF163" s="68"/>
      <c r="BG163" s="26"/>
      <c r="BH163" s="26"/>
      <c r="BI163" s="26"/>
      <c r="BJ163" s="26"/>
      <c r="BK163" s="26"/>
      <c r="BL163" s="26"/>
      <c r="BM163" s="26"/>
      <c r="BN163" s="26"/>
      <c r="BO163" s="26"/>
      <c r="BP163" s="26"/>
      <c r="BQ163" s="26"/>
      <c r="BR163" s="26"/>
      <c r="BS163" s="26"/>
      <c r="BT163" s="26"/>
      <c r="BU163" s="26"/>
      <c r="BW163" s="1" t="s">
        <v>552</v>
      </c>
    </row>
    <row r="164" spans="12:75" x14ac:dyDescent="0.35">
      <c r="L164" s="26"/>
      <c r="M164" s="26"/>
      <c r="N164" s="26"/>
      <c r="O164" s="26"/>
      <c r="P164" s="26"/>
      <c r="Q164" s="26"/>
      <c r="R164" s="26"/>
      <c r="S164" s="26"/>
      <c r="T164" s="26"/>
      <c r="U164" s="26"/>
      <c r="V164" s="26"/>
      <c r="W164" s="26"/>
      <c r="X164" s="26"/>
      <c r="Y164" s="26"/>
      <c r="Z164" s="26"/>
      <c r="AA164" s="26"/>
      <c r="AB164" s="26"/>
      <c r="AC164" s="26"/>
      <c r="AD164" s="26"/>
      <c r="AE164" s="26"/>
      <c r="AF164" s="68"/>
      <c r="AG164" s="75"/>
      <c r="AH164" s="75"/>
      <c r="AI164" s="26"/>
      <c r="AJ164" s="26"/>
      <c r="AK164" s="26"/>
      <c r="AL164" s="26"/>
      <c r="AM164" s="26"/>
      <c r="AN164" s="26"/>
      <c r="AO164" s="26"/>
      <c r="AP164" s="26"/>
      <c r="AQ164" s="26"/>
      <c r="AR164" s="26"/>
      <c r="AS164" s="68"/>
      <c r="AT164" s="75"/>
      <c r="AU164" s="75"/>
      <c r="AV164" s="26"/>
      <c r="AW164" s="26"/>
      <c r="AX164" s="26"/>
      <c r="AY164" s="26"/>
      <c r="AZ164" s="26"/>
      <c r="BA164" s="26"/>
      <c r="BB164" s="26"/>
      <c r="BC164" s="26"/>
      <c r="BD164" s="26"/>
      <c r="BE164" s="26"/>
      <c r="BF164" s="68"/>
      <c r="BG164" s="26"/>
      <c r="BH164" s="26"/>
      <c r="BI164" s="26"/>
      <c r="BJ164" s="26"/>
      <c r="BK164" s="26"/>
      <c r="BL164" s="26"/>
      <c r="BM164" s="26"/>
      <c r="BN164" s="26"/>
      <c r="BO164" s="26"/>
      <c r="BP164" s="26"/>
      <c r="BQ164" s="26"/>
      <c r="BR164" s="26"/>
      <c r="BS164" s="26"/>
      <c r="BT164" s="26"/>
      <c r="BU164" s="26"/>
      <c r="BW164" s="1" t="s">
        <v>553</v>
      </c>
    </row>
    <row r="165" spans="12:75" x14ac:dyDescent="0.35">
      <c r="L165" s="26"/>
      <c r="M165" s="26"/>
      <c r="N165" s="26"/>
      <c r="O165" s="26"/>
      <c r="P165" s="26"/>
      <c r="Q165" s="26"/>
      <c r="R165" s="26"/>
      <c r="S165" s="26"/>
      <c r="T165" s="26"/>
      <c r="U165" s="26"/>
      <c r="V165" s="26"/>
      <c r="W165" s="26"/>
      <c r="X165" s="26"/>
      <c r="Y165" s="26"/>
      <c r="Z165" s="26"/>
      <c r="AA165" s="26"/>
      <c r="AB165" s="26"/>
      <c r="AC165" s="26"/>
      <c r="AD165" s="26"/>
      <c r="AE165" s="26"/>
      <c r="AF165" s="68"/>
      <c r="AG165" s="75"/>
      <c r="AH165" s="75"/>
      <c r="AI165" s="26"/>
      <c r="AJ165" s="26"/>
      <c r="AK165" s="26"/>
      <c r="AL165" s="26"/>
      <c r="AM165" s="26"/>
      <c r="AN165" s="26"/>
      <c r="AO165" s="26"/>
      <c r="AP165" s="26"/>
      <c r="AQ165" s="26"/>
      <c r="AR165" s="26"/>
      <c r="AS165" s="68"/>
      <c r="AT165" s="75"/>
      <c r="AU165" s="75"/>
      <c r="AV165" s="26"/>
      <c r="AW165" s="26"/>
      <c r="AX165" s="26"/>
      <c r="AY165" s="26"/>
      <c r="AZ165" s="26"/>
      <c r="BA165" s="26"/>
      <c r="BB165" s="26"/>
      <c r="BC165" s="26"/>
      <c r="BD165" s="26"/>
      <c r="BE165" s="26"/>
      <c r="BF165" s="68"/>
      <c r="BG165" s="26"/>
      <c r="BH165" s="26"/>
      <c r="BI165" s="26"/>
      <c r="BJ165" s="26"/>
      <c r="BK165" s="26"/>
      <c r="BL165" s="26"/>
      <c r="BM165" s="26"/>
      <c r="BN165" s="26"/>
      <c r="BO165" s="26"/>
      <c r="BP165" s="26"/>
      <c r="BQ165" s="26"/>
      <c r="BR165" s="26"/>
      <c r="BS165" s="26"/>
      <c r="BT165" s="26"/>
      <c r="BU165" s="26"/>
      <c r="BW165" s="1" t="s">
        <v>554</v>
      </c>
    </row>
    <row r="166" spans="12:75" x14ac:dyDescent="0.35">
      <c r="L166" s="26"/>
      <c r="M166" s="26"/>
      <c r="N166" s="26"/>
      <c r="O166" s="26"/>
      <c r="P166" s="26"/>
      <c r="Q166" s="26"/>
      <c r="R166" s="26"/>
      <c r="S166" s="26"/>
      <c r="T166" s="26"/>
      <c r="U166" s="26"/>
      <c r="V166" s="26"/>
      <c r="W166" s="26"/>
      <c r="X166" s="26"/>
      <c r="Y166" s="26"/>
      <c r="Z166" s="26"/>
      <c r="AA166" s="26"/>
      <c r="AB166" s="26"/>
      <c r="AC166" s="26"/>
      <c r="AD166" s="26"/>
      <c r="AE166" s="26"/>
      <c r="AF166" s="68"/>
      <c r="AG166" s="75"/>
      <c r="AH166" s="75"/>
      <c r="AI166" s="26"/>
      <c r="AJ166" s="26"/>
      <c r="AK166" s="26"/>
      <c r="AL166" s="26"/>
      <c r="AM166" s="26"/>
      <c r="AN166" s="26"/>
      <c r="AO166" s="26"/>
      <c r="AP166" s="26"/>
      <c r="AQ166" s="26"/>
      <c r="AR166" s="26"/>
      <c r="AS166" s="68"/>
      <c r="AT166" s="75"/>
      <c r="AU166" s="75"/>
      <c r="AV166" s="26"/>
      <c r="AW166" s="26"/>
      <c r="AX166" s="26"/>
      <c r="AY166" s="26"/>
      <c r="AZ166" s="26"/>
      <c r="BA166" s="26"/>
      <c r="BB166" s="26"/>
      <c r="BC166" s="26"/>
      <c r="BD166" s="26"/>
      <c r="BE166" s="26"/>
      <c r="BF166" s="68"/>
      <c r="BG166" s="26"/>
      <c r="BH166" s="26"/>
      <c r="BI166" s="26"/>
      <c r="BJ166" s="26"/>
      <c r="BK166" s="26"/>
      <c r="BL166" s="26"/>
      <c r="BM166" s="26"/>
      <c r="BN166" s="26"/>
      <c r="BO166" s="26"/>
      <c r="BP166" s="26"/>
      <c r="BQ166" s="26"/>
      <c r="BR166" s="26"/>
      <c r="BS166" s="26"/>
      <c r="BT166" s="26"/>
      <c r="BU166" s="26"/>
      <c r="BW166" s="1" t="s">
        <v>555</v>
      </c>
    </row>
    <row r="167" spans="12:75" x14ac:dyDescent="0.35">
      <c r="L167" s="26"/>
      <c r="M167" s="26"/>
      <c r="N167" s="26"/>
      <c r="O167" s="26"/>
      <c r="P167" s="26"/>
      <c r="Q167" s="26"/>
      <c r="R167" s="26"/>
      <c r="S167" s="26"/>
      <c r="T167" s="26"/>
      <c r="U167" s="26"/>
      <c r="V167" s="26"/>
      <c r="W167" s="26"/>
      <c r="X167" s="26"/>
      <c r="Y167" s="26"/>
      <c r="Z167" s="26"/>
      <c r="AA167" s="26"/>
      <c r="AB167" s="26"/>
      <c r="AC167" s="26"/>
      <c r="AD167" s="26"/>
      <c r="AE167" s="26"/>
      <c r="AF167" s="68"/>
      <c r="AG167" s="75"/>
      <c r="AH167" s="75"/>
      <c r="AI167" s="26"/>
      <c r="AJ167" s="26"/>
      <c r="AK167" s="26"/>
      <c r="AL167" s="26"/>
      <c r="AM167" s="26"/>
      <c r="AN167" s="26"/>
      <c r="AO167" s="26"/>
      <c r="AP167" s="26"/>
      <c r="AQ167" s="26"/>
      <c r="AR167" s="26"/>
      <c r="AS167" s="68"/>
      <c r="AT167" s="75"/>
      <c r="AU167" s="75"/>
      <c r="AV167" s="26"/>
      <c r="AW167" s="26"/>
      <c r="AX167" s="26"/>
      <c r="AY167" s="26"/>
      <c r="AZ167" s="26"/>
      <c r="BA167" s="26"/>
      <c r="BB167" s="26"/>
      <c r="BC167" s="26"/>
      <c r="BD167" s="26"/>
      <c r="BE167" s="26"/>
      <c r="BF167" s="68"/>
      <c r="BG167" s="26"/>
      <c r="BH167" s="26"/>
      <c r="BI167" s="26"/>
      <c r="BJ167" s="26"/>
      <c r="BK167" s="26"/>
      <c r="BL167" s="26"/>
      <c r="BM167" s="26"/>
      <c r="BN167" s="26"/>
      <c r="BO167" s="26"/>
      <c r="BP167" s="26"/>
      <c r="BQ167" s="26"/>
      <c r="BR167" s="26"/>
      <c r="BS167" s="26"/>
      <c r="BT167" s="26"/>
      <c r="BU167" s="26"/>
      <c r="BW167" s="1" t="s">
        <v>556</v>
      </c>
    </row>
    <row r="168" spans="12:75" x14ac:dyDescent="0.35">
      <c r="L168" s="26"/>
      <c r="M168" s="26"/>
      <c r="N168" s="26"/>
      <c r="O168" s="26"/>
      <c r="P168" s="26"/>
      <c r="Q168" s="26"/>
      <c r="R168" s="26"/>
      <c r="S168" s="26"/>
      <c r="T168" s="26"/>
      <c r="U168" s="26"/>
      <c r="V168" s="26"/>
      <c r="W168" s="26"/>
      <c r="X168" s="26"/>
      <c r="Y168" s="26"/>
      <c r="Z168" s="26"/>
      <c r="AA168" s="26"/>
      <c r="AB168" s="26"/>
      <c r="AC168" s="26"/>
      <c r="AD168" s="26"/>
      <c r="AE168" s="26"/>
      <c r="AF168" s="68"/>
      <c r="AG168" s="75"/>
      <c r="AH168" s="75"/>
      <c r="AI168" s="26"/>
      <c r="AJ168" s="26"/>
      <c r="AK168" s="26"/>
      <c r="AL168" s="26"/>
      <c r="AM168" s="26"/>
      <c r="AN168" s="26"/>
      <c r="AO168" s="26"/>
      <c r="AP168" s="26"/>
      <c r="AQ168" s="26"/>
      <c r="AR168" s="26"/>
      <c r="AS168" s="68"/>
      <c r="AT168" s="75"/>
      <c r="AU168" s="75"/>
      <c r="AV168" s="26"/>
      <c r="AW168" s="26"/>
      <c r="AX168" s="26"/>
      <c r="AY168" s="26"/>
      <c r="AZ168" s="26"/>
      <c r="BA168" s="26"/>
      <c r="BB168" s="26"/>
      <c r="BC168" s="26"/>
      <c r="BD168" s="26"/>
      <c r="BE168" s="26"/>
      <c r="BF168" s="68"/>
      <c r="BG168" s="26"/>
      <c r="BH168" s="26"/>
      <c r="BI168" s="26"/>
      <c r="BJ168" s="26"/>
      <c r="BK168" s="26"/>
      <c r="BL168" s="26"/>
      <c r="BM168" s="26"/>
      <c r="BN168" s="26"/>
      <c r="BO168" s="26"/>
      <c r="BP168" s="26"/>
      <c r="BQ168" s="26"/>
      <c r="BR168" s="26"/>
      <c r="BS168" s="26"/>
      <c r="BT168" s="26"/>
      <c r="BU168" s="26"/>
      <c r="BW168" s="1" t="s">
        <v>557</v>
      </c>
    </row>
    <row r="169" spans="12:75" x14ac:dyDescent="0.35">
      <c r="L169" s="26"/>
      <c r="M169" s="26"/>
      <c r="N169" s="26"/>
      <c r="O169" s="26"/>
      <c r="P169" s="26"/>
      <c r="Q169" s="26"/>
      <c r="R169" s="26"/>
      <c r="S169" s="26"/>
      <c r="T169" s="26"/>
      <c r="U169" s="26"/>
      <c r="V169" s="26"/>
      <c r="W169" s="26"/>
      <c r="X169" s="26"/>
      <c r="Y169" s="26"/>
      <c r="Z169" s="26"/>
      <c r="AA169" s="26"/>
      <c r="AB169" s="26"/>
      <c r="AC169" s="26"/>
      <c r="AD169" s="26"/>
      <c r="AE169" s="26"/>
      <c r="AF169" s="68"/>
      <c r="AG169" s="75"/>
      <c r="AH169" s="75"/>
      <c r="AI169" s="26"/>
      <c r="AJ169" s="26"/>
      <c r="AK169" s="26"/>
      <c r="AL169" s="26"/>
      <c r="AM169" s="26"/>
      <c r="AN169" s="26"/>
      <c r="AO169" s="26"/>
      <c r="AP169" s="26"/>
      <c r="AQ169" s="26"/>
      <c r="AR169" s="26"/>
      <c r="AS169" s="68"/>
      <c r="AT169" s="75"/>
      <c r="AU169" s="75"/>
      <c r="AV169" s="26"/>
      <c r="AW169" s="26"/>
      <c r="AX169" s="26"/>
      <c r="AY169" s="26"/>
      <c r="AZ169" s="26"/>
      <c r="BA169" s="26"/>
      <c r="BB169" s="26"/>
      <c r="BC169" s="26"/>
      <c r="BD169" s="26"/>
      <c r="BE169" s="26"/>
      <c r="BF169" s="68"/>
      <c r="BG169" s="26"/>
      <c r="BH169" s="26"/>
      <c r="BI169" s="26"/>
      <c r="BJ169" s="26"/>
      <c r="BK169" s="26"/>
      <c r="BL169" s="26"/>
      <c r="BM169" s="26"/>
      <c r="BN169" s="26"/>
      <c r="BO169" s="26"/>
      <c r="BP169" s="26"/>
      <c r="BQ169" s="26"/>
      <c r="BR169" s="26"/>
      <c r="BS169" s="26"/>
      <c r="BT169" s="26"/>
      <c r="BU169" s="26"/>
      <c r="BW169" s="1" t="s">
        <v>558</v>
      </c>
    </row>
    <row r="170" spans="12:75" x14ac:dyDescent="0.35">
      <c r="L170" s="26"/>
      <c r="M170" s="26"/>
      <c r="N170" s="26"/>
      <c r="O170" s="26"/>
      <c r="P170" s="26"/>
      <c r="Q170" s="26"/>
      <c r="R170" s="26"/>
      <c r="S170" s="26"/>
      <c r="T170" s="26"/>
      <c r="U170" s="26"/>
      <c r="V170" s="26"/>
      <c r="W170" s="26"/>
      <c r="X170" s="26"/>
      <c r="Y170" s="26"/>
      <c r="Z170" s="26"/>
      <c r="AA170" s="26"/>
      <c r="AB170" s="26"/>
      <c r="AC170" s="26"/>
      <c r="AD170" s="26"/>
      <c r="AE170" s="26"/>
      <c r="AF170" s="68"/>
      <c r="AG170" s="75"/>
      <c r="AH170" s="75"/>
      <c r="AI170" s="26"/>
      <c r="AJ170" s="26"/>
      <c r="AK170" s="26"/>
      <c r="AL170" s="26"/>
      <c r="AM170" s="26"/>
      <c r="AN170" s="26"/>
      <c r="AO170" s="26"/>
      <c r="AP170" s="26"/>
      <c r="AQ170" s="26"/>
      <c r="AR170" s="26"/>
      <c r="AS170" s="68"/>
      <c r="AT170" s="75"/>
      <c r="AU170" s="75"/>
      <c r="AV170" s="26"/>
      <c r="AW170" s="26"/>
      <c r="AX170" s="26"/>
      <c r="AY170" s="26"/>
      <c r="AZ170" s="26"/>
      <c r="BA170" s="26"/>
      <c r="BB170" s="26"/>
      <c r="BC170" s="26"/>
      <c r="BD170" s="26"/>
      <c r="BE170" s="26"/>
      <c r="BF170" s="68"/>
      <c r="BG170" s="26"/>
      <c r="BH170" s="26"/>
      <c r="BI170" s="26"/>
      <c r="BJ170" s="26"/>
      <c r="BK170" s="26"/>
      <c r="BL170" s="26"/>
      <c r="BM170" s="26"/>
      <c r="BN170" s="26"/>
      <c r="BO170" s="26"/>
      <c r="BP170" s="26"/>
      <c r="BQ170" s="26"/>
      <c r="BR170" s="26"/>
      <c r="BS170" s="26"/>
      <c r="BT170" s="26"/>
      <c r="BU170" s="26"/>
      <c r="BW170" s="1"/>
    </row>
    <row r="171" spans="12:75" x14ac:dyDescent="0.35">
      <c r="L171" s="26"/>
      <c r="M171" s="26"/>
      <c r="N171" s="26"/>
      <c r="O171" s="26"/>
      <c r="P171" s="26"/>
      <c r="Q171" s="26"/>
      <c r="R171" s="26"/>
      <c r="S171" s="26"/>
      <c r="T171" s="26"/>
      <c r="U171" s="26"/>
      <c r="V171" s="26"/>
      <c r="W171" s="26"/>
      <c r="X171" s="26"/>
      <c r="Y171" s="26"/>
      <c r="Z171" s="26"/>
      <c r="AA171" s="26"/>
      <c r="AB171" s="26"/>
      <c r="AC171" s="26"/>
      <c r="AD171" s="26"/>
      <c r="AE171" s="26"/>
      <c r="AF171" s="68"/>
      <c r="AG171" s="75"/>
      <c r="AH171" s="75"/>
      <c r="AI171" s="26"/>
      <c r="AJ171" s="26"/>
      <c r="AK171" s="26"/>
      <c r="AL171" s="26"/>
      <c r="AM171" s="26"/>
      <c r="AN171" s="26"/>
      <c r="AO171" s="26"/>
      <c r="AP171" s="26"/>
      <c r="AQ171" s="26"/>
      <c r="AR171" s="26"/>
      <c r="AS171" s="68"/>
      <c r="AT171" s="75"/>
      <c r="AU171" s="75"/>
      <c r="AV171" s="26"/>
      <c r="AW171" s="26"/>
      <c r="AX171" s="26"/>
      <c r="AY171" s="26"/>
      <c r="AZ171" s="26"/>
      <c r="BA171" s="26"/>
      <c r="BB171" s="26"/>
      <c r="BC171" s="26"/>
      <c r="BD171" s="26"/>
      <c r="BE171" s="26"/>
      <c r="BF171" s="68"/>
      <c r="BG171" s="26"/>
      <c r="BH171" s="26"/>
      <c r="BI171" s="26"/>
      <c r="BJ171" s="26"/>
      <c r="BK171" s="26"/>
      <c r="BL171" s="26"/>
      <c r="BM171" s="26"/>
      <c r="BN171" s="26"/>
      <c r="BO171" s="26"/>
      <c r="BP171" s="26"/>
      <c r="BQ171" s="26"/>
      <c r="BR171" s="26"/>
      <c r="BS171" s="26"/>
      <c r="BT171" s="26"/>
      <c r="BU171" s="26"/>
      <c r="BW171" s="1" t="s">
        <v>564</v>
      </c>
    </row>
    <row r="172" spans="12:75" x14ac:dyDescent="0.35">
      <c r="L172" s="26"/>
      <c r="M172" s="26"/>
      <c r="N172" s="26"/>
      <c r="O172" s="26"/>
      <c r="P172" s="26"/>
      <c r="Q172" s="26"/>
      <c r="R172" s="26"/>
      <c r="S172" s="26"/>
      <c r="T172" s="26"/>
      <c r="U172" s="26"/>
      <c r="V172" s="26"/>
      <c r="W172" s="26"/>
      <c r="X172" s="26"/>
      <c r="Y172" s="26"/>
      <c r="Z172" s="26"/>
      <c r="AA172" s="26"/>
      <c r="AB172" s="26"/>
      <c r="AC172" s="26"/>
      <c r="AD172" s="26"/>
      <c r="AE172" s="26"/>
      <c r="AF172" s="68"/>
      <c r="AG172" s="75"/>
      <c r="AH172" s="75"/>
      <c r="AI172" s="26"/>
      <c r="AJ172" s="26"/>
      <c r="AK172" s="26"/>
      <c r="AL172" s="26"/>
      <c r="AM172" s="26"/>
      <c r="AN172" s="26"/>
      <c r="AO172" s="26"/>
      <c r="AP172" s="26"/>
      <c r="AQ172" s="26"/>
      <c r="AR172" s="26"/>
      <c r="AS172" s="68"/>
      <c r="AT172" s="75"/>
      <c r="AU172" s="75"/>
      <c r="AV172" s="26"/>
      <c r="AW172" s="26"/>
      <c r="AX172" s="26"/>
      <c r="AY172" s="26"/>
      <c r="AZ172" s="26"/>
      <c r="BA172" s="26"/>
      <c r="BB172" s="26"/>
      <c r="BC172" s="26"/>
      <c r="BD172" s="26"/>
      <c r="BE172" s="26"/>
      <c r="BF172" s="68"/>
      <c r="BG172" s="26"/>
      <c r="BH172" s="26"/>
      <c r="BI172" s="26"/>
      <c r="BJ172" s="26"/>
      <c r="BK172" s="26"/>
      <c r="BL172" s="26"/>
      <c r="BM172" s="26"/>
      <c r="BN172" s="26"/>
      <c r="BO172" s="26"/>
      <c r="BP172" s="26"/>
      <c r="BQ172" s="26"/>
      <c r="BR172" s="26"/>
      <c r="BS172" s="26"/>
      <c r="BT172" s="26"/>
      <c r="BU172" s="26"/>
      <c r="BW172" s="1" t="s">
        <v>565</v>
      </c>
    </row>
    <row r="173" spans="12:75" x14ac:dyDescent="0.35">
      <c r="L173" s="26"/>
      <c r="M173" s="26"/>
      <c r="N173" s="26"/>
      <c r="O173" s="26"/>
      <c r="P173" s="26"/>
      <c r="Q173" s="26"/>
      <c r="R173" s="26"/>
      <c r="S173" s="26"/>
      <c r="T173" s="26"/>
      <c r="U173" s="26"/>
      <c r="V173" s="26"/>
      <c r="W173" s="26"/>
      <c r="X173" s="26"/>
      <c r="Y173" s="26"/>
      <c r="Z173" s="26"/>
      <c r="AA173" s="26"/>
      <c r="AB173" s="26"/>
      <c r="AC173" s="26"/>
      <c r="AD173" s="26"/>
      <c r="AE173" s="26"/>
      <c r="AF173" s="68"/>
      <c r="AG173" s="75"/>
      <c r="AH173" s="75"/>
      <c r="AI173" s="26"/>
      <c r="AJ173" s="26"/>
      <c r="AK173" s="26"/>
      <c r="AL173" s="26"/>
      <c r="AM173" s="26"/>
      <c r="AN173" s="26"/>
      <c r="AO173" s="26"/>
      <c r="AP173" s="26"/>
      <c r="AQ173" s="26"/>
      <c r="AR173" s="26"/>
      <c r="AS173" s="68"/>
      <c r="AT173" s="75"/>
      <c r="AU173" s="75"/>
      <c r="AV173" s="26"/>
      <c r="AW173" s="26"/>
      <c r="AX173" s="26"/>
      <c r="AY173" s="26"/>
      <c r="AZ173" s="26"/>
      <c r="BA173" s="26"/>
      <c r="BB173" s="26"/>
      <c r="BC173" s="26"/>
      <c r="BD173" s="26"/>
      <c r="BE173" s="26"/>
      <c r="BF173" s="68"/>
      <c r="BG173" s="26"/>
      <c r="BH173" s="26"/>
      <c r="BI173" s="26"/>
      <c r="BJ173" s="26"/>
      <c r="BK173" s="26"/>
      <c r="BL173" s="26"/>
      <c r="BM173" s="26"/>
      <c r="BN173" s="26"/>
      <c r="BO173" s="26"/>
      <c r="BP173" s="26"/>
      <c r="BQ173" s="26"/>
      <c r="BR173" s="26"/>
      <c r="BS173" s="26"/>
      <c r="BT173" s="26"/>
      <c r="BU173" s="26"/>
      <c r="BW173" s="1" t="s">
        <v>528</v>
      </c>
    </row>
    <row r="174" spans="12:75" x14ac:dyDescent="0.35">
      <c r="L174" s="26"/>
      <c r="M174" s="26"/>
      <c r="N174" s="26"/>
      <c r="O174" s="26"/>
      <c r="P174" s="26"/>
      <c r="Q174" s="26"/>
      <c r="R174" s="26"/>
      <c r="S174" s="26"/>
      <c r="T174" s="26"/>
      <c r="U174" s="26"/>
      <c r="V174" s="26"/>
      <c r="W174" s="26"/>
      <c r="X174" s="26"/>
      <c r="Y174" s="26"/>
      <c r="Z174" s="26"/>
      <c r="AA174" s="26"/>
      <c r="AB174" s="26"/>
      <c r="AC174" s="26"/>
      <c r="AD174" s="26"/>
      <c r="AE174" s="26"/>
      <c r="AF174" s="68"/>
      <c r="AG174" s="75"/>
      <c r="AH174" s="75"/>
      <c r="AI174" s="26"/>
      <c r="AJ174" s="26"/>
      <c r="AK174" s="26"/>
      <c r="AL174" s="26"/>
      <c r="AM174" s="26"/>
      <c r="AN174" s="26"/>
      <c r="AO174" s="26"/>
      <c r="AP174" s="26"/>
      <c r="AQ174" s="26"/>
      <c r="AR174" s="26"/>
      <c r="AS174" s="68"/>
      <c r="AT174" s="75"/>
      <c r="AU174" s="75"/>
      <c r="AV174" s="26"/>
      <c r="AW174" s="26"/>
      <c r="AX174" s="26"/>
      <c r="AY174" s="26"/>
      <c r="AZ174" s="26"/>
      <c r="BA174" s="26"/>
      <c r="BB174" s="26"/>
      <c r="BC174" s="26"/>
      <c r="BD174" s="26"/>
      <c r="BE174" s="26"/>
      <c r="BF174" s="68"/>
      <c r="BG174" s="26"/>
      <c r="BH174" s="26"/>
      <c r="BI174" s="26"/>
      <c r="BJ174" s="26"/>
      <c r="BK174" s="26"/>
      <c r="BL174" s="26"/>
      <c r="BM174" s="26"/>
      <c r="BN174" s="26"/>
      <c r="BO174" s="26"/>
      <c r="BP174" s="26"/>
      <c r="BQ174" s="26"/>
      <c r="BR174" s="26"/>
      <c r="BS174" s="26"/>
      <c r="BT174" s="26"/>
      <c r="BU174" s="26"/>
      <c r="BW174" s="1" t="s">
        <v>562</v>
      </c>
    </row>
    <row r="175" spans="12:75" x14ac:dyDescent="0.35">
      <c r="L175" s="26"/>
      <c r="M175" s="26"/>
      <c r="N175" s="26"/>
      <c r="O175" s="26"/>
      <c r="P175" s="26"/>
      <c r="Q175" s="26"/>
      <c r="R175" s="26"/>
      <c r="S175" s="26"/>
      <c r="T175" s="26"/>
      <c r="U175" s="26"/>
      <c r="V175" s="26"/>
      <c r="W175" s="26"/>
      <c r="X175" s="26"/>
      <c r="Y175" s="26"/>
      <c r="Z175" s="26"/>
      <c r="AA175" s="26"/>
      <c r="AB175" s="26"/>
      <c r="AC175" s="26"/>
      <c r="AD175" s="26"/>
      <c r="AE175" s="26"/>
      <c r="AF175" s="68"/>
      <c r="AG175" s="75"/>
      <c r="AH175" s="75"/>
      <c r="AI175" s="26"/>
      <c r="AJ175" s="26"/>
      <c r="AK175" s="26"/>
      <c r="AL175" s="26"/>
      <c r="AM175" s="26"/>
      <c r="AN175" s="26"/>
      <c r="AO175" s="26"/>
      <c r="AP175" s="26"/>
      <c r="AQ175" s="26"/>
      <c r="AR175" s="26"/>
      <c r="AS175" s="68"/>
      <c r="AT175" s="75"/>
      <c r="AU175" s="75"/>
      <c r="AV175" s="26"/>
      <c r="AW175" s="26"/>
      <c r="AX175" s="26"/>
      <c r="AY175" s="26"/>
      <c r="AZ175" s="26"/>
      <c r="BA175" s="26"/>
      <c r="BB175" s="26"/>
      <c r="BC175" s="26"/>
      <c r="BD175" s="26"/>
      <c r="BE175" s="26"/>
      <c r="BF175" s="68"/>
      <c r="BG175" s="26"/>
      <c r="BH175" s="26"/>
      <c r="BI175" s="26"/>
      <c r="BJ175" s="26"/>
      <c r="BK175" s="26"/>
      <c r="BL175" s="26"/>
      <c r="BM175" s="26"/>
      <c r="BN175" s="26"/>
      <c r="BO175" s="26"/>
      <c r="BP175" s="26"/>
      <c r="BQ175" s="26"/>
      <c r="BR175" s="26"/>
      <c r="BS175" s="26"/>
      <c r="BT175" s="26"/>
      <c r="BU175" s="26"/>
      <c r="BW175" s="1" t="s">
        <v>566</v>
      </c>
    </row>
    <row r="176" spans="12:75" x14ac:dyDescent="0.35">
      <c r="L176" s="26"/>
      <c r="M176" s="26"/>
      <c r="N176" s="26"/>
      <c r="O176" s="26"/>
      <c r="P176" s="26"/>
      <c r="Q176" s="26"/>
      <c r="R176" s="26"/>
      <c r="S176" s="26"/>
      <c r="T176" s="26"/>
      <c r="U176" s="26"/>
      <c r="V176" s="26"/>
      <c r="W176" s="26"/>
      <c r="X176" s="26"/>
      <c r="Y176" s="26"/>
      <c r="Z176" s="26"/>
      <c r="AA176" s="26"/>
      <c r="AB176" s="26"/>
      <c r="AC176" s="26"/>
      <c r="AD176" s="26"/>
      <c r="AE176" s="26"/>
      <c r="AF176" s="68"/>
      <c r="AG176" s="75"/>
      <c r="AH176" s="75"/>
      <c r="AI176" s="26"/>
      <c r="AJ176" s="26"/>
      <c r="AK176" s="26"/>
      <c r="AL176" s="26"/>
      <c r="AM176" s="26"/>
      <c r="AN176" s="26"/>
      <c r="AO176" s="26"/>
      <c r="AP176" s="26"/>
      <c r="AQ176" s="26"/>
      <c r="AR176" s="26"/>
      <c r="AS176" s="68"/>
      <c r="AT176" s="75"/>
      <c r="AU176" s="75"/>
      <c r="AV176" s="26"/>
      <c r="AW176" s="26"/>
      <c r="AX176" s="26"/>
      <c r="AY176" s="26"/>
      <c r="AZ176" s="26"/>
      <c r="BA176" s="26"/>
      <c r="BB176" s="26"/>
      <c r="BC176" s="26"/>
      <c r="BD176" s="26"/>
      <c r="BE176" s="26"/>
      <c r="BF176" s="68"/>
      <c r="BG176" s="26"/>
      <c r="BH176" s="26"/>
      <c r="BI176" s="26"/>
      <c r="BJ176" s="26"/>
      <c r="BK176" s="26"/>
      <c r="BL176" s="26"/>
      <c r="BM176" s="26"/>
      <c r="BN176" s="26"/>
      <c r="BO176" s="26"/>
      <c r="BP176" s="26"/>
      <c r="BQ176" s="26"/>
      <c r="BR176" s="26"/>
      <c r="BS176" s="26"/>
      <c r="BT176" s="26"/>
      <c r="BU176" s="26"/>
      <c r="BW176" s="1" t="s">
        <v>567</v>
      </c>
    </row>
    <row r="177" spans="12:75" x14ac:dyDescent="0.35">
      <c r="L177" s="26"/>
      <c r="M177" s="26"/>
      <c r="N177" s="26"/>
      <c r="O177" s="26"/>
      <c r="P177" s="26"/>
      <c r="Q177" s="26"/>
      <c r="R177" s="26"/>
      <c r="S177" s="26"/>
      <c r="T177" s="26"/>
      <c r="U177" s="26"/>
      <c r="V177" s="26"/>
      <c r="W177" s="26"/>
      <c r="X177" s="26"/>
      <c r="Y177" s="26"/>
      <c r="Z177" s="26"/>
      <c r="AA177" s="26"/>
      <c r="AB177" s="26"/>
      <c r="AC177" s="26"/>
      <c r="AD177" s="26"/>
      <c r="AE177" s="26"/>
      <c r="AF177" s="68"/>
      <c r="AG177" s="75"/>
      <c r="AH177" s="75"/>
      <c r="AI177" s="26"/>
      <c r="AJ177" s="26"/>
      <c r="AK177" s="26"/>
      <c r="AL177" s="26"/>
      <c r="AM177" s="26"/>
      <c r="AN177" s="26"/>
      <c r="AO177" s="26"/>
      <c r="AP177" s="26"/>
      <c r="AQ177" s="26"/>
      <c r="AR177" s="26"/>
      <c r="AS177" s="68"/>
      <c r="AT177" s="75"/>
      <c r="AU177" s="75"/>
      <c r="AV177" s="26"/>
      <c r="AW177" s="26"/>
      <c r="AX177" s="26"/>
      <c r="AY177" s="26"/>
      <c r="AZ177" s="26"/>
      <c r="BA177" s="26"/>
      <c r="BB177" s="26"/>
      <c r="BC177" s="26"/>
      <c r="BD177" s="26"/>
      <c r="BE177" s="26"/>
      <c r="BF177" s="68"/>
      <c r="BG177" s="26"/>
      <c r="BH177" s="26"/>
      <c r="BI177" s="26"/>
      <c r="BJ177" s="26"/>
      <c r="BK177" s="26"/>
      <c r="BL177" s="26"/>
      <c r="BM177" s="26"/>
      <c r="BN177" s="26"/>
      <c r="BO177" s="26"/>
      <c r="BP177" s="26"/>
      <c r="BQ177" s="26"/>
      <c r="BR177" s="26"/>
      <c r="BS177" s="26"/>
      <c r="BT177" s="26"/>
      <c r="BU177" s="26"/>
      <c r="BW177" s="1" t="s">
        <v>568</v>
      </c>
    </row>
    <row r="178" spans="12:75" x14ac:dyDescent="0.35">
      <c r="L178" s="26"/>
      <c r="M178" s="26"/>
      <c r="N178" s="26"/>
      <c r="O178" s="26"/>
      <c r="P178" s="26"/>
      <c r="Q178" s="26"/>
      <c r="R178" s="26"/>
      <c r="S178" s="26"/>
      <c r="T178" s="26"/>
      <c r="U178" s="26"/>
      <c r="V178" s="26"/>
      <c r="W178" s="26"/>
      <c r="X178" s="26"/>
      <c r="Y178" s="26"/>
      <c r="Z178" s="26"/>
      <c r="AA178" s="26"/>
      <c r="AB178" s="26"/>
      <c r="AC178" s="26"/>
      <c r="AD178" s="26"/>
      <c r="AE178" s="26"/>
      <c r="AF178" s="68"/>
      <c r="AG178" s="75"/>
      <c r="AH178" s="75"/>
      <c r="AI178" s="26"/>
      <c r="AJ178" s="26"/>
      <c r="AK178" s="26"/>
      <c r="AL178" s="26"/>
      <c r="AM178" s="26"/>
      <c r="AN178" s="26"/>
      <c r="AO178" s="26"/>
      <c r="AP178" s="26"/>
      <c r="AQ178" s="26"/>
      <c r="AR178" s="26"/>
      <c r="AS178" s="68"/>
      <c r="AT178" s="75"/>
      <c r="AU178" s="75"/>
      <c r="AV178" s="26"/>
      <c r="AW178" s="26"/>
      <c r="AX178" s="26"/>
      <c r="AY178" s="26"/>
      <c r="AZ178" s="26"/>
      <c r="BA178" s="26"/>
      <c r="BB178" s="26"/>
      <c r="BC178" s="26"/>
      <c r="BD178" s="26"/>
      <c r="BE178" s="26"/>
      <c r="BF178" s="68"/>
      <c r="BG178" s="26"/>
      <c r="BH178" s="26"/>
      <c r="BI178" s="26"/>
      <c r="BJ178" s="26"/>
      <c r="BK178" s="26"/>
      <c r="BL178" s="26"/>
      <c r="BM178" s="26"/>
      <c r="BN178" s="26"/>
      <c r="BO178" s="26"/>
      <c r="BP178" s="26"/>
      <c r="BQ178" s="26"/>
      <c r="BR178" s="26"/>
      <c r="BS178" s="26"/>
      <c r="BT178" s="26"/>
      <c r="BU178" s="26"/>
      <c r="BW178" s="1" t="s">
        <v>569</v>
      </c>
    </row>
    <row r="179" spans="12:75" x14ac:dyDescent="0.35">
      <c r="L179" s="26"/>
      <c r="M179" s="26"/>
      <c r="N179" s="26"/>
      <c r="O179" s="26"/>
      <c r="P179" s="26"/>
      <c r="Q179" s="26"/>
      <c r="R179" s="26"/>
      <c r="S179" s="26"/>
      <c r="T179" s="26"/>
      <c r="U179" s="26"/>
      <c r="V179" s="26"/>
      <c r="W179" s="26"/>
      <c r="X179" s="26"/>
      <c r="Y179" s="26"/>
      <c r="Z179" s="26"/>
      <c r="AA179" s="26"/>
      <c r="AB179" s="26"/>
      <c r="AC179" s="26"/>
      <c r="AD179" s="26"/>
      <c r="AE179" s="26"/>
      <c r="AF179" s="68"/>
      <c r="AG179" s="75"/>
      <c r="AH179" s="75"/>
      <c r="AI179" s="26"/>
      <c r="AJ179" s="26"/>
      <c r="AK179" s="26"/>
      <c r="AL179" s="26"/>
      <c r="AM179" s="26"/>
      <c r="AN179" s="26"/>
      <c r="AO179" s="26"/>
      <c r="AP179" s="26"/>
      <c r="AQ179" s="26"/>
      <c r="AR179" s="26"/>
      <c r="AS179" s="68"/>
      <c r="AT179" s="75"/>
      <c r="AU179" s="75"/>
      <c r="AV179" s="26"/>
      <c r="AW179" s="26"/>
      <c r="AX179" s="26"/>
      <c r="AY179" s="26"/>
      <c r="AZ179" s="26"/>
      <c r="BA179" s="26"/>
      <c r="BB179" s="26"/>
      <c r="BC179" s="26"/>
      <c r="BD179" s="26"/>
      <c r="BE179" s="26"/>
      <c r="BF179" s="68"/>
      <c r="BG179" s="26"/>
      <c r="BH179" s="26"/>
      <c r="BI179" s="26"/>
      <c r="BJ179" s="26"/>
      <c r="BK179" s="26"/>
      <c r="BL179" s="26"/>
      <c r="BM179" s="26"/>
      <c r="BN179" s="26"/>
      <c r="BO179" s="26"/>
      <c r="BP179" s="26"/>
      <c r="BQ179" s="26"/>
      <c r="BR179" s="26"/>
      <c r="BS179" s="26"/>
      <c r="BT179" s="26"/>
      <c r="BU179" s="26"/>
      <c r="BW179" s="1"/>
    </row>
    <row r="180" spans="12:75" x14ac:dyDescent="0.35">
      <c r="L180" s="26"/>
      <c r="M180" s="26"/>
      <c r="N180" s="26"/>
      <c r="O180" s="26"/>
      <c r="P180" s="26"/>
      <c r="Q180" s="26"/>
      <c r="R180" s="26"/>
      <c r="S180" s="26"/>
      <c r="T180" s="26"/>
      <c r="U180" s="26"/>
      <c r="V180" s="26"/>
      <c r="W180" s="26"/>
      <c r="X180" s="26"/>
      <c r="Y180" s="26"/>
      <c r="Z180" s="26"/>
      <c r="AA180" s="26"/>
      <c r="AB180" s="26"/>
      <c r="AC180" s="26"/>
      <c r="AD180" s="26"/>
      <c r="AE180" s="26"/>
      <c r="AF180" s="68"/>
      <c r="AG180" s="75"/>
      <c r="AH180" s="75"/>
      <c r="AI180" s="26"/>
      <c r="AJ180" s="26"/>
      <c r="AK180" s="26"/>
      <c r="AL180" s="26"/>
      <c r="AM180" s="26"/>
      <c r="AN180" s="26"/>
      <c r="AO180" s="26"/>
      <c r="AP180" s="26"/>
      <c r="AQ180" s="26"/>
      <c r="AR180" s="26"/>
      <c r="AS180" s="68"/>
      <c r="AT180" s="75"/>
      <c r="AU180" s="75"/>
      <c r="AV180" s="26"/>
      <c r="AW180" s="26"/>
      <c r="AX180" s="26"/>
      <c r="AY180" s="26"/>
      <c r="AZ180" s="26"/>
      <c r="BA180" s="26"/>
      <c r="BB180" s="26"/>
      <c r="BC180" s="26"/>
      <c r="BD180" s="26"/>
      <c r="BE180" s="26"/>
      <c r="BF180" s="68"/>
      <c r="BG180" s="26"/>
      <c r="BH180" s="26"/>
      <c r="BI180" s="26"/>
      <c r="BJ180" s="26"/>
      <c r="BK180" s="26"/>
      <c r="BL180" s="26"/>
      <c r="BM180" s="26"/>
      <c r="BN180" s="26"/>
      <c r="BO180" s="26"/>
      <c r="BP180" s="26"/>
      <c r="BQ180" s="26"/>
      <c r="BR180" s="26"/>
      <c r="BS180" s="26"/>
      <c r="BT180" s="26"/>
      <c r="BU180" s="26"/>
      <c r="BW180" s="1" t="s">
        <v>570</v>
      </c>
    </row>
    <row r="181" spans="12:75" x14ac:dyDescent="0.35">
      <c r="L181" s="26"/>
      <c r="M181" s="26"/>
      <c r="N181" s="26"/>
      <c r="O181" s="26"/>
      <c r="P181" s="26"/>
      <c r="Q181" s="26"/>
      <c r="R181" s="26"/>
      <c r="S181" s="26"/>
      <c r="T181" s="26"/>
      <c r="U181" s="26"/>
      <c r="V181" s="26"/>
      <c r="W181" s="26"/>
      <c r="X181" s="26"/>
      <c r="Y181" s="26"/>
      <c r="Z181" s="26"/>
      <c r="AA181" s="26"/>
      <c r="AB181" s="26"/>
      <c r="AC181" s="26"/>
      <c r="AD181" s="26"/>
      <c r="AE181" s="26"/>
      <c r="AF181" s="68"/>
      <c r="AG181" s="75"/>
      <c r="AH181" s="75"/>
      <c r="AI181" s="26"/>
      <c r="AJ181" s="26"/>
      <c r="AK181" s="26"/>
      <c r="AL181" s="26"/>
      <c r="AM181" s="26"/>
      <c r="AN181" s="26"/>
      <c r="AO181" s="26"/>
      <c r="AP181" s="26"/>
      <c r="AQ181" s="26"/>
      <c r="AR181" s="26"/>
      <c r="AS181" s="68"/>
      <c r="AT181" s="75"/>
      <c r="AU181" s="75"/>
      <c r="AV181" s="26"/>
      <c r="AW181" s="26"/>
      <c r="AX181" s="26"/>
      <c r="AY181" s="26"/>
      <c r="AZ181" s="26"/>
      <c r="BA181" s="26"/>
      <c r="BB181" s="26"/>
      <c r="BC181" s="26"/>
      <c r="BD181" s="26"/>
      <c r="BE181" s="26"/>
      <c r="BF181" s="68"/>
      <c r="BG181" s="26"/>
      <c r="BH181" s="26"/>
      <c r="BI181" s="26"/>
      <c r="BJ181" s="26"/>
      <c r="BK181" s="26"/>
      <c r="BL181" s="26"/>
      <c r="BM181" s="26"/>
      <c r="BN181" s="26"/>
      <c r="BO181" s="26"/>
      <c r="BP181" s="26"/>
      <c r="BQ181" s="26"/>
      <c r="BR181" s="26"/>
      <c r="BS181" s="26"/>
      <c r="BT181" s="26"/>
      <c r="BU181" s="26"/>
      <c r="BW181" s="1" t="s">
        <v>571</v>
      </c>
    </row>
    <row r="182" spans="12:75" x14ac:dyDescent="0.35">
      <c r="L182" s="26"/>
      <c r="M182" s="26"/>
      <c r="N182" s="26"/>
      <c r="O182" s="26"/>
      <c r="P182" s="26"/>
      <c r="Q182" s="26"/>
      <c r="R182" s="26"/>
      <c r="S182" s="26"/>
      <c r="T182" s="26"/>
      <c r="U182" s="26"/>
      <c r="V182" s="26"/>
      <c r="W182" s="26"/>
      <c r="X182" s="26"/>
      <c r="Y182" s="26"/>
      <c r="Z182" s="26"/>
      <c r="AA182" s="26"/>
      <c r="AB182" s="26"/>
      <c r="AC182" s="26"/>
      <c r="AD182" s="26"/>
      <c r="AE182" s="26"/>
      <c r="AF182" s="68"/>
      <c r="AG182" s="75"/>
      <c r="AH182" s="75"/>
      <c r="AI182" s="26"/>
      <c r="AJ182" s="26"/>
      <c r="AK182" s="26"/>
      <c r="AL182" s="26"/>
      <c r="AM182" s="26"/>
      <c r="AN182" s="26"/>
      <c r="AO182" s="26"/>
      <c r="AP182" s="26"/>
      <c r="AQ182" s="26"/>
      <c r="AR182" s="26"/>
      <c r="AS182" s="68"/>
      <c r="AT182" s="75"/>
      <c r="AU182" s="75"/>
      <c r="AV182" s="26"/>
      <c r="AW182" s="26"/>
      <c r="AX182" s="26"/>
      <c r="AY182" s="26"/>
      <c r="AZ182" s="26"/>
      <c r="BA182" s="26"/>
      <c r="BB182" s="26"/>
      <c r="BC182" s="26"/>
      <c r="BD182" s="26"/>
      <c r="BE182" s="26"/>
      <c r="BF182" s="68"/>
      <c r="BG182" s="26"/>
      <c r="BH182" s="26"/>
      <c r="BI182" s="26"/>
      <c r="BJ182" s="26"/>
      <c r="BK182" s="26"/>
      <c r="BL182" s="26"/>
      <c r="BM182" s="26"/>
      <c r="BN182" s="26"/>
      <c r="BO182" s="26"/>
      <c r="BP182" s="26"/>
      <c r="BQ182" s="26"/>
      <c r="BR182" s="26"/>
      <c r="BS182" s="26"/>
      <c r="BT182" s="26"/>
      <c r="BU182" s="26"/>
      <c r="BW182" s="1" t="s">
        <v>572</v>
      </c>
    </row>
    <row r="183" spans="12:75" x14ac:dyDescent="0.35">
      <c r="L183" s="26"/>
      <c r="M183" s="26"/>
      <c r="N183" s="26"/>
      <c r="O183" s="26"/>
      <c r="P183" s="26"/>
      <c r="Q183" s="26"/>
      <c r="R183" s="26"/>
      <c r="S183" s="26"/>
      <c r="T183" s="26"/>
      <c r="U183" s="26"/>
      <c r="V183" s="26"/>
      <c r="W183" s="26"/>
      <c r="X183" s="26"/>
      <c r="Y183" s="26"/>
      <c r="Z183" s="26"/>
      <c r="AA183" s="26"/>
      <c r="AB183" s="26"/>
      <c r="AC183" s="26"/>
      <c r="AD183" s="26"/>
      <c r="AE183" s="26"/>
      <c r="AF183" s="68"/>
      <c r="AG183" s="75"/>
      <c r="AH183" s="75"/>
      <c r="AI183" s="26"/>
      <c r="AJ183" s="26"/>
      <c r="AK183" s="26"/>
      <c r="AL183" s="26"/>
      <c r="AM183" s="26"/>
      <c r="AN183" s="26"/>
      <c r="AO183" s="26"/>
      <c r="AP183" s="26"/>
      <c r="AQ183" s="26"/>
      <c r="AR183" s="26"/>
      <c r="AS183" s="68"/>
      <c r="AT183" s="75"/>
      <c r="AU183" s="75"/>
      <c r="AV183" s="26"/>
      <c r="AW183" s="26"/>
      <c r="AX183" s="26"/>
      <c r="AY183" s="26"/>
      <c r="AZ183" s="26"/>
      <c r="BA183" s="26"/>
      <c r="BB183" s="26"/>
      <c r="BC183" s="26"/>
      <c r="BD183" s="26"/>
      <c r="BE183" s="26"/>
      <c r="BF183" s="68"/>
      <c r="BG183" s="26"/>
      <c r="BH183" s="26"/>
      <c r="BI183" s="26"/>
      <c r="BJ183" s="26"/>
      <c r="BK183" s="26"/>
      <c r="BL183" s="26"/>
      <c r="BM183" s="26"/>
      <c r="BN183" s="26"/>
      <c r="BO183" s="26"/>
      <c r="BP183" s="26"/>
      <c r="BQ183" s="26"/>
      <c r="BR183" s="26"/>
      <c r="BS183" s="26"/>
      <c r="BT183" s="26"/>
      <c r="BU183" s="26"/>
      <c r="BW183" s="1" t="s">
        <v>573</v>
      </c>
    </row>
    <row r="184" spans="12:75" x14ac:dyDescent="0.35">
      <c r="BW184" s="1" t="s">
        <v>574</v>
      </c>
    </row>
    <row r="185" spans="12:75" x14ac:dyDescent="0.35">
      <c r="BW185" s="1" t="s">
        <v>575</v>
      </c>
    </row>
    <row r="186" spans="12:75" x14ac:dyDescent="0.35">
      <c r="BW186" s="1"/>
    </row>
    <row r="187" spans="12:75" x14ac:dyDescent="0.35">
      <c r="BW187" s="1" t="s">
        <v>576</v>
      </c>
    </row>
    <row r="188" spans="12:75" x14ac:dyDescent="0.35">
      <c r="BW188" s="1" t="s">
        <v>577</v>
      </c>
    </row>
    <row r="189" spans="12:75" x14ac:dyDescent="0.35">
      <c r="BW189" s="1" t="s">
        <v>578</v>
      </c>
    </row>
    <row r="190" spans="12:75" x14ac:dyDescent="0.35">
      <c r="BW190" s="1" t="s">
        <v>445</v>
      </c>
    </row>
    <row r="191" spans="12:75" x14ac:dyDescent="0.35">
      <c r="BW191" s="1" t="s">
        <v>446</v>
      </c>
    </row>
    <row r="192" spans="12:75" x14ac:dyDescent="0.35">
      <c r="BW192" s="1" t="s">
        <v>447</v>
      </c>
    </row>
    <row r="193" spans="75:75" x14ac:dyDescent="0.35">
      <c r="BW193" s="1" t="s">
        <v>579</v>
      </c>
    </row>
    <row r="194" spans="75:75" x14ac:dyDescent="0.35">
      <c r="BW194" s="1" t="s">
        <v>580</v>
      </c>
    </row>
    <row r="195" spans="75:75" x14ac:dyDescent="0.35">
      <c r="BW195" s="1" t="s">
        <v>581</v>
      </c>
    </row>
    <row r="196" spans="75:75" x14ac:dyDescent="0.35">
      <c r="BW196" s="1"/>
    </row>
    <row r="197" spans="75:75" x14ac:dyDescent="0.35">
      <c r="BW197" s="1" t="s">
        <v>582</v>
      </c>
    </row>
    <row r="198" spans="75:75" x14ac:dyDescent="0.35">
      <c r="BW198" s="1" t="s">
        <v>583</v>
      </c>
    </row>
    <row r="199" spans="75:75" x14ac:dyDescent="0.35">
      <c r="BW199" s="1" t="s">
        <v>584</v>
      </c>
    </row>
    <row r="200" spans="75:75" x14ac:dyDescent="0.35">
      <c r="BW200" s="1" t="s">
        <v>585</v>
      </c>
    </row>
    <row r="201" spans="75:75" x14ac:dyDescent="0.35">
      <c r="BW201" s="1" t="s">
        <v>586</v>
      </c>
    </row>
    <row r="202" spans="75:75" x14ac:dyDescent="0.35">
      <c r="BW202" s="1" t="s">
        <v>587</v>
      </c>
    </row>
    <row r="203" spans="75:75" x14ac:dyDescent="0.35">
      <c r="BW203" s="1" t="s">
        <v>588</v>
      </c>
    </row>
    <row r="204" spans="75:75" x14ac:dyDescent="0.35">
      <c r="BW204" s="1" t="s">
        <v>589</v>
      </c>
    </row>
    <row r="205" spans="75:75" x14ac:dyDescent="0.35">
      <c r="BW205" s="1" t="s">
        <v>590</v>
      </c>
    </row>
    <row r="206" spans="75:75" x14ac:dyDescent="0.35">
      <c r="BW206" s="1" t="s">
        <v>591</v>
      </c>
    </row>
    <row r="207" spans="75:75" x14ac:dyDescent="0.35">
      <c r="BW207" s="1" t="s">
        <v>592</v>
      </c>
    </row>
    <row r="208" spans="75:75" x14ac:dyDescent="0.35">
      <c r="BW208" s="1" t="s">
        <v>593</v>
      </c>
    </row>
    <row r="209" spans="75:75" x14ac:dyDescent="0.35">
      <c r="BW209" s="1" t="s">
        <v>547</v>
      </c>
    </row>
    <row r="210" spans="75:75" x14ac:dyDescent="0.35">
      <c r="BW210" s="1" t="s">
        <v>594</v>
      </c>
    </row>
    <row r="211" spans="75:75" x14ac:dyDescent="0.35">
      <c r="BW211" s="1" t="s">
        <v>595</v>
      </c>
    </row>
    <row r="212" spans="75:75" x14ac:dyDescent="0.35">
      <c r="BW212" s="1" t="s">
        <v>596</v>
      </c>
    </row>
    <row r="213" spans="75:75" x14ac:dyDescent="0.35">
      <c r="BW213" s="1" t="s">
        <v>597</v>
      </c>
    </row>
    <row r="214" spans="75:75" x14ac:dyDescent="0.35">
      <c r="BW214" s="1" t="s">
        <v>598</v>
      </c>
    </row>
    <row r="215" spans="75:75" x14ac:dyDescent="0.35">
      <c r="BW215" s="1" t="s">
        <v>605</v>
      </c>
    </row>
    <row r="216" spans="75:75" x14ac:dyDescent="0.35">
      <c r="BW216" s="1" t="s">
        <v>599</v>
      </c>
    </row>
    <row r="218" spans="75:75" x14ac:dyDescent="0.35">
      <c r="BW218" s="1" t="s">
        <v>600</v>
      </c>
    </row>
    <row r="219" spans="75:75" x14ac:dyDescent="0.35">
      <c r="BW219" s="1" t="s">
        <v>601</v>
      </c>
    </row>
    <row r="220" spans="75:75" x14ac:dyDescent="0.35">
      <c r="BW220" s="1" t="s">
        <v>602</v>
      </c>
    </row>
    <row r="221" spans="75:75" x14ac:dyDescent="0.35">
      <c r="BW221" s="1" t="s">
        <v>603</v>
      </c>
    </row>
    <row r="222" spans="75:75" x14ac:dyDescent="0.35">
      <c r="BW222" s="1" t="s">
        <v>594</v>
      </c>
    </row>
    <row r="223" spans="75:75" x14ac:dyDescent="0.35">
      <c r="BW223" s="1" t="s">
        <v>594</v>
      </c>
    </row>
    <row r="224" spans="75:75" x14ac:dyDescent="0.35">
      <c r="BW224" s="1" t="s">
        <v>604</v>
      </c>
    </row>
    <row r="225" spans="75:75" x14ac:dyDescent="0.35">
      <c r="BW225" s="1"/>
    </row>
    <row r="226" spans="75:75" x14ac:dyDescent="0.35">
      <c r="BW226" s="1" t="s">
        <v>609</v>
      </c>
    </row>
    <row r="227" spans="75:75" x14ac:dyDescent="0.35">
      <c r="BW227" s="1" t="s">
        <v>523</v>
      </c>
    </row>
    <row r="228" spans="75:75" x14ac:dyDescent="0.35">
      <c r="BW228" s="1" t="s">
        <v>524</v>
      </c>
    </row>
    <row r="229" spans="75:75" x14ac:dyDescent="0.35">
      <c r="BW229" s="1" t="s">
        <v>525</v>
      </c>
    </row>
    <row r="230" spans="75:75" x14ac:dyDescent="0.35">
      <c r="BW230" s="1" t="s">
        <v>445</v>
      </c>
    </row>
    <row r="231" spans="75:75" x14ac:dyDescent="0.35">
      <c r="BW231" s="1" t="s">
        <v>526</v>
      </c>
    </row>
    <row r="232" spans="75:75" x14ac:dyDescent="0.35">
      <c r="BW232" s="1"/>
    </row>
    <row r="233" spans="75:75" x14ac:dyDescent="0.35">
      <c r="BW233" s="1" t="s">
        <v>611</v>
      </c>
    </row>
    <row r="234" spans="75:75" x14ac:dyDescent="0.35">
      <c r="BW234" s="1" t="s">
        <v>612</v>
      </c>
    </row>
    <row r="235" spans="75:75" x14ac:dyDescent="0.35">
      <c r="BW235" s="1" t="s">
        <v>613</v>
      </c>
    </row>
    <row r="236" spans="75:75" x14ac:dyDescent="0.35">
      <c r="BW236" s="1" t="s">
        <v>614</v>
      </c>
    </row>
    <row r="237" spans="75:75" x14ac:dyDescent="0.35">
      <c r="BW237" s="1" t="s">
        <v>615</v>
      </c>
    </row>
    <row r="238" spans="75:75" x14ac:dyDescent="0.35">
      <c r="BW238" s="1" t="s">
        <v>616</v>
      </c>
    </row>
    <row r="239" spans="75:75" x14ac:dyDescent="0.35">
      <c r="BW239" s="1" t="s">
        <v>617</v>
      </c>
    </row>
    <row r="240" spans="75:75" x14ac:dyDescent="0.35">
      <c r="BW240" s="1" t="s">
        <v>618</v>
      </c>
    </row>
    <row r="241" spans="75:75" x14ac:dyDescent="0.35">
      <c r="BW241" s="1"/>
    </row>
    <row r="242" spans="75:75" x14ac:dyDescent="0.35">
      <c r="BW242" s="1" t="s">
        <v>619</v>
      </c>
    </row>
    <row r="243" spans="75:75" x14ac:dyDescent="0.35">
      <c r="BW243" s="1" t="s">
        <v>620</v>
      </c>
    </row>
    <row r="244" spans="75:75" x14ac:dyDescent="0.35">
      <c r="BW244" s="1" t="s">
        <v>621</v>
      </c>
    </row>
    <row r="245" spans="75:75" x14ac:dyDescent="0.35">
      <c r="BW245" s="1" t="s">
        <v>622</v>
      </c>
    </row>
    <row r="246" spans="75:75" x14ac:dyDescent="0.35">
      <c r="BW246" s="1" t="s">
        <v>623</v>
      </c>
    </row>
    <row r="247" spans="75:75" x14ac:dyDescent="0.35">
      <c r="BW247" s="1"/>
    </row>
    <row r="248" spans="75:75" x14ac:dyDescent="0.35">
      <c r="BW248" s="1" t="s">
        <v>624</v>
      </c>
    </row>
    <row r="249" spans="75:75" x14ac:dyDescent="0.35">
      <c r="BW249" s="1" t="s">
        <v>625</v>
      </c>
    </row>
    <row r="250" spans="75:75" x14ac:dyDescent="0.35">
      <c r="BW250" s="1" t="s">
        <v>626</v>
      </c>
    </row>
    <row r="251" spans="75:75" x14ac:dyDescent="0.35">
      <c r="BW251" s="1" t="s">
        <v>627</v>
      </c>
    </row>
    <row r="252" spans="75:75" x14ac:dyDescent="0.35">
      <c r="BW252" s="1"/>
    </row>
    <row r="253" spans="75:75" x14ac:dyDescent="0.35">
      <c r="BW253" s="1" t="s">
        <v>634</v>
      </c>
    </row>
    <row r="254" spans="75:75" x14ac:dyDescent="0.35">
      <c r="BW254" s="1" t="s">
        <v>628</v>
      </c>
    </row>
    <row r="255" spans="75:75" x14ac:dyDescent="0.35">
      <c r="BW255" s="1" t="s">
        <v>491</v>
      </c>
    </row>
    <row r="256" spans="75:75" x14ac:dyDescent="0.35">
      <c r="BW256" s="1" t="s">
        <v>629</v>
      </c>
    </row>
    <row r="257" spans="75:75" x14ac:dyDescent="0.35">
      <c r="BW257" s="1" t="s">
        <v>630</v>
      </c>
    </row>
    <row r="258" spans="75:75" x14ac:dyDescent="0.35">
      <c r="BW258" s="1" t="s">
        <v>631</v>
      </c>
    </row>
    <row r="259" spans="75:75" x14ac:dyDescent="0.35">
      <c r="BW259" s="1" t="s">
        <v>632</v>
      </c>
    </row>
    <row r="260" spans="75:75" x14ac:dyDescent="0.35">
      <c r="BW260" s="1" t="s">
        <v>633</v>
      </c>
    </row>
    <row r="261" spans="75:75" x14ac:dyDescent="0.35">
      <c r="BW261" s="1"/>
    </row>
    <row r="262" spans="75:75" x14ac:dyDescent="0.35">
      <c r="BW262" s="1" t="s">
        <v>644</v>
      </c>
    </row>
    <row r="263" spans="75:75" x14ac:dyDescent="0.35">
      <c r="BW263" s="1" t="s">
        <v>645</v>
      </c>
    </row>
    <row r="264" spans="75:75" x14ac:dyDescent="0.35">
      <c r="BW264" s="1" t="s">
        <v>646</v>
      </c>
    </row>
    <row r="265" spans="75:75" x14ac:dyDescent="0.35">
      <c r="BW265" s="1" t="s">
        <v>647</v>
      </c>
    </row>
    <row r="266" spans="75:75" x14ac:dyDescent="0.35">
      <c r="BW266" s="61" t="s">
        <v>653</v>
      </c>
    </row>
    <row r="267" spans="75:75" x14ac:dyDescent="0.35">
      <c r="BW267" s="1" t="s">
        <v>648</v>
      </c>
    </row>
    <row r="268" spans="75:75" x14ac:dyDescent="0.35">
      <c r="BW268" s="1" t="s">
        <v>649</v>
      </c>
    </row>
    <row r="269" spans="75:75" x14ac:dyDescent="0.35">
      <c r="BW269" s="1" t="s">
        <v>650</v>
      </c>
    </row>
    <row r="270" spans="75:75" x14ac:dyDescent="0.35">
      <c r="BW270" s="1" t="s">
        <v>651</v>
      </c>
    </row>
    <row r="271" spans="75:75" x14ac:dyDescent="0.35">
      <c r="BW271" s="1" t="s">
        <v>652</v>
      </c>
    </row>
    <row r="273" spans="75:75" x14ac:dyDescent="0.35">
      <c r="BW273" s="69" t="s">
        <v>692</v>
      </c>
    </row>
    <row r="275" spans="75:75" x14ac:dyDescent="0.35">
      <c r="BW275" t="s">
        <v>694</v>
      </c>
    </row>
    <row r="276" spans="75:75" x14ac:dyDescent="0.35">
      <c r="BW276" s="1" t="s">
        <v>693</v>
      </c>
    </row>
    <row r="278" spans="75:75" x14ac:dyDescent="0.35">
      <c r="BW278" t="s">
        <v>695</v>
      </c>
    </row>
    <row r="279" spans="75:75" x14ac:dyDescent="0.35">
      <c r="BW279" s="1" t="s">
        <v>696</v>
      </c>
    </row>
    <row r="280" spans="75:75" x14ac:dyDescent="0.35">
      <c r="BW280" s="1" t="s">
        <v>697</v>
      </c>
    </row>
    <row r="281" spans="75:75" x14ac:dyDescent="0.35">
      <c r="BW281" s="1" t="s">
        <v>698</v>
      </c>
    </row>
    <row r="283" spans="75:75" x14ac:dyDescent="0.35">
      <c r="BW283" s="1" t="s">
        <v>701</v>
      </c>
    </row>
    <row r="284" spans="75:75" x14ac:dyDescent="0.35">
      <c r="BW284" s="1" t="s">
        <v>699</v>
      </c>
    </row>
    <row r="285" spans="75:75" x14ac:dyDescent="0.35">
      <c r="BW285" s="1" t="s">
        <v>700</v>
      </c>
    </row>
    <row r="287" spans="75:75" x14ac:dyDescent="0.35">
      <c r="BW287" s="1" t="s">
        <v>702</v>
      </c>
    </row>
    <row r="288" spans="75:75" x14ac:dyDescent="0.35">
      <c r="BW288" s="1" t="s">
        <v>703</v>
      </c>
    </row>
    <row r="289" spans="75:75" x14ac:dyDescent="0.35">
      <c r="BW289" s="1" t="s">
        <v>704</v>
      </c>
    </row>
    <row r="291" spans="75:75" x14ac:dyDescent="0.35">
      <c r="BW291" s="1" t="s">
        <v>711</v>
      </c>
    </row>
    <row r="292" spans="75:75" x14ac:dyDescent="0.35">
      <c r="BW292" s="1" t="s">
        <v>705</v>
      </c>
    </row>
    <row r="293" spans="75:75" x14ac:dyDescent="0.35">
      <c r="BW293" s="1" t="s">
        <v>706</v>
      </c>
    </row>
    <row r="294" spans="75:75" x14ac:dyDescent="0.35">
      <c r="BW294" s="1" t="s">
        <v>707</v>
      </c>
    </row>
    <row r="295" spans="75:75" x14ac:dyDescent="0.35">
      <c r="BW295" s="1" t="s">
        <v>708</v>
      </c>
    </row>
    <row r="296" spans="75:75" x14ac:dyDescent="0.35">
      <c r="BW296" s="1" t="s">
        <v>709</v>
      </c>
    </row>
    <row r="297" spans="75:75" x14ac:dyDescent="0.35">
      <c r="BW297" s="1" t="s">
        <v>710</v>
      </c>
    </row>
    <row r="299" spans="75:75" x14ac:dyDescent="0.35">
      <c r="BW299" s="1" t="s">
        <v>712</v>
      </c>
    </row>
    <row r="300" spans="75:75" x14ac:dyDescent="0.35">
      <c r="BW300" s="1" t="s">
        <v>713</v>
      </c>
    </row>
    <row r="301" spans="75:75" x14ac:dyDescent="0.35">
      <c r="BW301" s="1" t="s">
        <v>714</v>
      </c>
    </row>
    <row r="303" spans="75:75" x14ac:dyDescent="0.35">
      <c r="BW303" s="1" t="s">
        <v>715</v>
      </c>
    </row>
    <row r="304" spans="75:75" x14ac:dyDescent="0.35">
      <c r="BW304" s="1" t="s">
        <v>716</v>
      </c>
    </row>
    <row r="305" spans="75:75" x14ac:dyDescent="0.35">
      <c r="BW305" s="1" t="s">
        <v>717</v>
      </c>
    </row>
    <row r="307" spans="75:75" x14ac:dyDescent="0.35">
      <c r="BW307" s="1" t="s">
        <v>729</v>
      </c>
    </row>
    <row r="308" spans="75:75" x14ac:dyDescent="0.35">
      <c r="BW308" s="1" t="s">
        <v>730</v>
      </c>
    </row>
    <row r="309" spans="75:75" x14ac:dyDescent="0.35">
      <c r="BW309" s="1" t="s">
        <v>731</v>
      </c>
    </row>
    <row r="310" spans="75:75" x14ac:dyDescent="0.35">
      <c r="BW310" s="1" t="s">
        <v>732</v>
      </c>
    </row>
    <row r="311" spans="75:75" x14ac:dyDescent="0.35">
      <c r="BW311" s="1" t="s">
        <v>733</v>
      </c>
    </row>
    <row r="312" spans="75:75" x14ac:dyDescent="0.35">
      <c r="BW312" s="1" t="s">
        <v>734</v>
      </c>
    </row>
    <row r="313" spans="75:75" x14ac:dyDescent="0.35">
      <c r="BW313" s="1" t="s">
        <v>735</v>
      </c>
    </row>
    <row r="314" spans="75:75" x14ac:dyDescent="0.35">
      <c r="BW314" s="1" t="s">
        <v>736</v>
      </c>
    </row>
    <row r="315" spans="75:75" x14ac:dyDescent="0.35">
      <c r="BW315" s="1" t="s">
        <v>737</v>
      </c>
    </row>
    <row r="316" spans="75:75" x14ac:dyDescent="0.35">
      <c r="BW316" s="1" t="s">
        <v>738</v>
      </c>
    </row>
    <row r="317" spans="75:75" x14ac:dyDescent="0.35">
      <c r="BW317" s="1" t="s">
        <v>739</v>
      </c>
    </row>
    <row r="318" spans="75:75" x14ac:dyDescent="0.35">
      <c r="BW318" s="1" t="s">
        <v>740</v>
      </c>
    </row>
    <row r="320" spans="75:75" x14ac:dyDescent="0.35">
      <c r="BW320" s="1" t="s">
        <v>741</v>
      </c>
    </row>
    <row r="321" spans="75:75" x14ac:dyDescent="0.35">
      <c r="BW321" s="1" t="s">
        <v>742</v>
      </c>
    </row>
    <row r="323" spans="75:75" x14ac:dyDescent="0.35">
      <c r="BW323" s="1" t="s">
        <v>743</v>
      </c>
    </row>
    <row r="324" spans="75:75" x14ac:dyDescent="0.35">
      <c r="BW324" s="1" t="s">
        <v>744</v>
      </c>
    </row>
    <row r="326" spans="75:75" ht="17.5" x14ac:dyDescent="0.35">
      <c r="BW326" s="72" t="s">
        <v>760</v>
      </c>
    </row>
    <row r="328" spans="75:75" x14ac:dyDescent="0.35">
      <c r="BW328" s="1" t="s">
        <v>761</v>
      </c>
    </row>
    <row r="329" spans="75:75" x14ac:dyDescent="0.35">
      <c r="BW329" s="1" t="s">
        <v>762</v>
      </c>
    </row>
    <row r="330" spans="75:75" x14ac:dyDescent="0.35">
      <c r="BW330" s="1" t="s">
        <v>763</v>
      </c>
    </row>
    <row r="331" spans="75:75" x14ac:dyDescent="0.35">
      <c r="BW331" s="1" t="s">
        <v>764</v>
      </c>
    </row>
    <row r="332" spans="75:75" x14ac:dyDescent="0.35">
      <c r="BW332" s="1" t="s">
        <v>765</v>
      </c>
    </row>
    <row r="333" spans="75:75" x14ac:dyDescent="0.35">
      <c r="BW333" s="1" t="s">
        <v>766</v>
      </c>
    </row>
    <row r="334" spans="75:75" x14ac:dyDescent="0.35">
      <c r="BW334" s="1" t="s">
        <v>767</v>
      </c>
    </row>
    <row r="335" spans="75:75" x14ac:dyDescent="0.35">
      <c r="BW335" s="1" t="s">
        <v>768</v>
      </c>
    </row>
    <row r="336" spans="75:75" x14ac:dyDescent="0.35">
      <c r="BW336" s="1" t="s">
        <v>769</v>
      </c>
    </row>
    <row r="337" spans="75:75" x14ac:dyDescent="0.35">
      <c r="BW337" s="1" t="s">
        <v>770</v>
      </c>
    </row>
    <row r="338" spans="75:75" x14ac:dyDescent="0.35">
      <c r="BW338" s="1" t="s">
        <v>771</v>
      </c>
    </row>
    <row r="339" spans="75:75" x14ac:dyDescent="0.35">
      <c r="BW339" s="1" t="s">
        <v>772</v>
      </c>
    </row>
    <row r="340" spans="75:75" x14ac:dyDescent="0.35">
      <c r="BW340" s="1" t="s">
        <v>773</v>
      </c>
    </row>
    <row r="341" spans="75:75" x14ac:dyDescent="0.35">
      <c r="BW341" s="1" t="s">
        <v>774</v>
      </c>
    </row>
    <row r="342" spans="75:75" x14ac:dyDescent="0.35">
      <c r="BW342" s="1" t="s">
        <v>761</v>
      </c>
    </row>
    <row r="344" spans="75:75" x14ac:dyDescent="0.35">
      <c r="BW344" s="1" t="s">
        <v>775</v>
      </c>
    </row>
    <row r="345" spans="75:75" x14ac:dyDescent="0.35">
      <c r="BW345" s="1" t="s">
        <v>776</v>
      </c>
    </row>
    <row r="346" spans="75:75" x14ac:dyDescent="0.35">
      <c r="BW346" s="1" t="s">
        <v>777</v>
      </c>
    </row>
    <row r="347" spans="75:75" x14ac:dyDescent="0.35">
      <c r="BW347" s="1" t="s">
        <v>765</v>
      </c>
    </row>
    <row r="348" spans="75:75" x14ac:dyDescent="0.35">
      <c r="BW348" s="1" t="s">
        <v>778</v>
      </c>
    </row>
    <row r="349" spans="75:75" x14ac:dyDescent="0.35">
      <c r="BW349" s="1" t="s">
        <v>779</v>
      </c>
    </row>
    <row r="350" spans="75:75" x14ac:dyDescent="0.35">
      <c r="BW350" s="1" t="s">
        <v>768</v>
      </c>
    </row>
    <row r="351" spans="75:75" x14ac:dyDescent="0.35">
      <c r="BW351" s="1" t="s">
        <v>780</v>
      </c>
    </row>
    <row r="352" spans="75:75" x14ac:dyDescent="0.35">
      <c r="BW352" s="1" t="s">
        <v>781</v>
      </c>
    </row>
    <row r="353" spans="75:75" x14ac:dyDescent="0.35">
      <c r="BW353" s="1" t="s">
        <v>771</v>
      </c>
    </row>
    <row r="354" spans="75:75" x14ac:dyDescent="0.35">
      <c r="BW354" s="1" t="s">
        <v>782</v>
      </c>
    </row>
    <row r="355" spans="75:75" x14ac:dyDescent="0.35">
      <c r="BW355" s="1" t="s">
        <v>783</v>
      </c>
    </row>
    <row r="356" spans="75:75" x14ac:dyDescent="0.35">
      <c r="BW356" s="1" t="s">
        <v>784</v>
      </c>
    </row>
    <row r="358" spans="75:75" x14ac:dyDescent="0.35">
      <c r="BW358" s="1" t="s">
        <v>785</v>
      </c>
    </row>
    <row r="359" spans="75:75" x14ac:dyDescent="0.35">
      <c r="BW359" s="1" t="s">
        <v>786</v>
      </c>
    </row>
    <row r="360" spans="75:75" x14ac:dyDescent="0.35">
      <c r="BW360" s="1" t="s">
        <v>787</v>
      </c>
    </row>
    <row r="361" spans="75:75" x14ac:dyDescent="0.35">
      <c r="BW361" s="1" t="s">
        <v>788</v>
      </c>
    </row>
    <row r="362" spans="75:75" x14ac:dyDescent="0.35">
      <c r="BW362" s="1" t="s">
        <v>789</v>
      </c>
    </row>
    <row r="363" spans="75:75" x14ac:dyDescent="0.35">
      <c r="BW363" s="1" t="s">
        <v>790</v>
      </c>
    </row>
    <row r="364" spans="75:75" x14ac:dyDescent="0.35">
      <c r="BW364" s="1" t="s">
        <v>768</v>
      </c>
    </row>
    <row r="365" spans="75:75" x14ac:dyDescent="0.35">
      <c r="BW365" s="1" t="s">
        <v>791</v>
      </c>
    </row>
    <row r="366" spans="75:75" x14ac:dyDescent="0.35">
      <c r="BW366" s="1" t="s">
        <v>792</v>
      </c>
    </row>
    <row r="367" spans="75:75" x14ac:dyDescent="0.35">
      <c r="BW367" s="1" t="s">
        <v>788</v>
      </c>
    </row>
    <row r="368" spans="75:75" x14ac:dyDescent="0.35">
      <c r="BW368" s="1" t="s">
        <v>793</v>
      </c>
    </row>
    <row r="369" spans="75:75" x14ac:dyDescent="0.35">
      <c r="BW369" s="1" t="s">
        <v>794</v>
      </c>
    </row>
    <row r="370" spans="75:75" x14ac:dyDescent="0.35">
      <c r="BW370" s="1" t="s">
        <v>795</v>
      </c>
    </row>
    <row r="372" spans="75:75" x14ac:dyDescent="0.35">
      <c r="BW372" s="1" t="s">
        <v>796</v>
      </c>
    </row>
    <row r="373" spans="75:75" x14ac:dyDescent="0.35">
      <c r="BW373" s="1" t="s">
        <v>760</v>
      </c>
    </row>
    <row r="374" spans="75:75" x14ac:dyDescent="0.35">
      <c r="BW374" s="1" t="s">
        <v>797</v>
      </c>
    </row>
    <row r="375" spans="75:75" x14ac:dyDescent="0.35">
      <c r="BW375" s="1" t="s">
        <v>798</v>
      </c>
    </row>
    <row r="376" spans="75:75" x14ac:dyDescent="0.35">
      <c r="BW376" s="1" t="s">
        <v>799</v>
      </c>
    </row>
    <row r="377" spans="75:75" x14ac:dyDescent="0.35">
      <c r="BW377" s="1" t="s">
        <v>800</v>
      </c>
    </row>
    <row r="378" spans="75:75" x14ac:dyDescent="0.35">
      <c r="BW378" s="1" t="s">
        <v>801</v>
      </c>
    </row>
    <row r="379" spans="75:75" x14ac:dyDescent="0.35">
      <c r="BW379" s="1" t="s">
        <v>802</v>
      </c>
    </row>
    <row r="380" spans="75:75" x14ac:dyDescent="0.35">
      <c r="BW380" s="1" t="s">
        <v>803</v>
      </c>
    </row>
    <row r="381" spans="75:75" x14ac:dyDescent="0.35">
      <c r="BW381" s="1" t="s">
        <v>804</v>
      </c>
    </row>
    <row r="382" spans="75:75" x14ac:dyDescent="0.35">
      <c r="BW382" s="1" t="s">
        <v>805</v>
      </c>
    </row>
    <row r="384" spans="75:75" ht="15.5" x14ac:dyDescent="0.35">
      <c r="BW384" s="73" t="s">
        <v>806</v>
      </c>
    </row>
    <row r="385" spans="75:75" ht="15.5" x14ac:dyDescent="0.35">
      <c r="BW385" s="73" t="s">
        <v>807</v>
      </c>
    </row>
    <row r="386" spans="75:75" ht="15.5" x14ac:dyDescent="0.35">
      <c r="BW386" s="73" t="s">
        <v>808</v>
      </c>
    </row>
    <row r="387" spans="75:75" ht="15.5" x14ac:dyDescent="0.35">
      <c r="BW387" s="73" t="s">
        <v>774</v>
      </c>
    </row>
    <row r="388" spans="75:75" ht="15.5" x14ac:dyDescent="0.35">
      <c r="BW388" s="73" t="s">
        <v>809</v>
      </c>
    </row>
    <row r="389" spans="75:75" ht="15.5" x14ac:dyDescent="0.35">
      <c r="BW389" s="73">
        <v>850</v>
      </c>
    </row>
    <row r="390" spans="75:75" ht="15.5" x14ac:dyDescent="0.35">
      <c r="BW390" s="73" t="s">
        <v>810</v>
      </c>
    </row>
    <row r="391" spans="75:75" ht="15.5" x14ac:dyDescent="0.35">
      <c r="BW391" s="73">
        <v>300</v>
      </c>
    </row>
    <row r="393" spans="75:75" x14ac:dyDescent="0.35">
      <c r="BW393" s="1" t="s">
        <v>811</v>
      </c>
    </row>
    <row r="394" spans="75:75" x14ac:dyDescent="0.35">
      <c r="BW394" s="1" t="s">
        <v>812</v>
      </c>
    </row>
    <row r="395" spans="75:75" x14ac:dyDescent="0.35">
      <c r="BW395" s="1" t="s">
        <v>813</v>
      </c>
    </row>
    <row r="396" spans="75:75" x14ac:dyDescent="0.35">
      <c r="BW396" s="1" t="s">
        <v>765</v>
      </c>
    </row>
    <row r="397" spans="75:75" x14ac:dyDescent="0.35">
      <c r="BW397" s="1" t="s">
        <v>814</v>
      </c>
    </row>
    <row r="398" spans="75:75" x14ac:dyDescent="0.35">
      <c r="BW398" s="1" t="s">
        <v>815</v>
      </c>
    </row>
    <row r="399" spans="75:75" x14ac:dyDescent="0.35">
      <c r="BW399" s="1" t="s">
        <v>768</v>
      </c>
    </row>
    <row r="400" spans="75:75" x14ac:dyDescent="0.35">
      <c r="BW400" s="1" t="s">
        <v>816</v>
      </c>
    </row>
    <row r="401" spans="75:75" x14ac:dyDescent="0.35">
      <c r="BW401" s="1" t="s">
        <v>817</v>
      </c>
    </row>
    <row r="402" spans="75:75" x14ac:dyDescent="0.35">
      <c r="BW402" s="1" t="s">
        <v>765</v>
      </c>
    </row>
    <row r="403" spans="75:75" x14ac:dyDescent="0.35">
      <c r="BW403" s="1" t="s">
        <v>818</v>
      </c>
    </row>
    <row r="404" spans="75:75" x14ac:dyDescent="0.35">
      <c r="BW404" s="1" t="s">
        <v>819</v>
      </c>
    </row>
    <row r="405" spans="75:75" x14ac:dyDescent="0.35">
      <c r="BW405" s="1" t="s">
        <v>820</v>
      </c>
    </row>
    <row r="407" spans="75:75" x14ac:dyDescent="0.35">
      <c r="BW407" s="1" t="s">
        <v>821</v>
      </c>
    </row>
    <row r="408" spans="75:75" x14ac:dyDescent="0.35">
      <c r="BW408" s="1" t="s">
        <v>822</v>
      </c>
    </row>
    <row r="409" spans="75:75" x14ac:dyDescent="0.35">
      <c r="BW409" s="1" t="s">
        <v>823</v>
      </c>
    </row>
    <row r="410" spans="75:75" x14ac:dyDescent="0.35">
      <c r="BW410" s="1" t="s">
        <v>824</v>
      </c>
    </row>
    <row r="411" spans="75:75" x14ac:dyDescent="0.35">
      <c r="BW411" s="1" t="s">
        <v>825</v>
      </c>
    </row>
    <row r="412" spans="75:75" x14ac:dyDescent="0.35">
      <c r="BW412" s="1" t="s">
        <v>826</v>
      </c>
    </row>
    <row r="413" spans="75:75" x14ac:dyDescent="0.35">
      <c r="BW413" s="1" t="s">
        <v>827</v>
      </c>
    </row>
    <row r="415" spans="75:75" x14ac:dyDescent="0.35">
      <c r="BW415" s="1" t="s">
        <v>9</v>
      </c>
    </row>
    <row r="416" spans="75:75" x14ac:dyDescent="0.35">
      <c r="BW416" s="1" t="s">
        <v>828</v>
      </c>
    </row>
    <row r="417" spans="75:75" x14ac:dyDescent="0.35">
      <c r="BW417" s="1" t="s">
        <v>829</v>
      </c>
    </row>
    <row r="419" spans="75:75" x14ac:dyDescent="0.35">
      <c r="BW419" s="1" t="s">
        <v>830</v>
      </c>
    </row>
    <row r="420" spans="75:75" x14ac:dyDescent="0.35">
      <c r="BW420" s="1" t="s">
        <v>831</v>
      </c>
    </row>
    <row r="421" spans="75:75" x14ac:dyDescent="0.35">
      <c r="BW421" s="1" t="s">
        <v>832</v>
      </c>
    </row>
    <row r="422" spans="75:75" x14ac:dyDescent="0.35">
      <c r="BW422" s="1" t="s">
        <v>765</v>
      </c>
    </row>
    <row r="423" spans="75:75" x14ac:dyDescent="0.35">
      <c r="BW423" s="1" t="s">
        <v>833</v>
      </c>
    </row>
    <row r="424" spans="75:75" x14ac:dyDescent="0.35">
      <c r="BW424" s="1" t="s">
        <v>834</v>
      </c>
    </row>
    <row r="425" spans="75:75" x14ac:dyDescent="0.35">
      <c r="BW425" s="1" t="s">
        <v>768</v>
      </c>
    </row>
    <row r="426" spans="75:75" x14ac:dyDescent="0.35">
      <c r="BW426" s="1" t="s">
        <v>835</v>
      </c>
    </row>
    <row r="427" spans="75:75" x14ac:dyDescent="0.35">
      <c r="BW427" s="1" t="s">
        <v>836</v>
      </c>
    </row>
    <row r="428" spans="75:75" x14ac:dyDescent="0.35">
      <c r="BW428" s="1" t="s">
        <v>765</v>
      </c>
    </row>
    <row r="429" spans="75:75" x14ac:dyDescent="0.35">
      <c r="BW429" s="1" t="s">
        <v>837</v>
      </c>
    </row>
    <row r="430" spans="75:75" x14ac:dyDescent="0.35">
      <c r="BW430" s="1" t="s">
        <v>838</v>
      </c>
    </row>
    <row r="431" spans="75:75" x14ac:dyDescent="0.35">
      <c r="BW431" s="1" t="s">
        <v>820</v>
      </c>
    </row>
    <row r="433" spans="75:75" x14ac:dyDescent="0.35">
      <c r="BW433" s="1" t="s">
        <v>839</v>
      </c>
    </row>
    <row r="434" spans="75:75" x14ac:dyDescent="0.35">
      <c r="BW434" s="1" t="s">
        <v>840</v>
      </c>
    </row>
    <row r="435" spans="75:75" x14ac:dyDescent="0.35">
      <c r="BW435" s="1" t="s">
        <v>841</v>
      </c>
    </row>
    <row r="436" spans="75:75" x14ac:dyDescent="0.35">
      <c r="BW436" s="1" t="s">
        <v>842</v>
      </c>
    </row>
    <row r="437" spans="75:75" x14ac:dyDescent="0.35">
      <c r="BW437" s="1" t="s">
        <v>843</v>
      </c>
    </row>
    <row r="438" spans="75:75" x14ac:dyDescent="0.35">
      <c r="BW438" s="1"/>
    </row>
    <row r="439" spans="75:75" x14ac:dyDescent="0.35">
      <c r="BW439" s="1" t="s">
        <v>844</v>
      </c>
    </row>
    <row r="440" spans="75:75" x14ac:dyDescent="0.35">
      <c r="BW440" s="1" t="s">
        <v>845</v>
      </c>
    </row>
    <row r="441" spans="75:75" x14ac:dyDescent="0.35">
      <c r="BW441" s="1" t="s">
        <v>846</v>
      </c>
    </row>
    <row r="442" spans="75:75" x14ac:dyDescent="0.35">
      <c r="BW442" s="1" t="s">
        <v>847</v>
      </c>
    </row>
    <row r="443" spans="75:75" x14ac:dyDescent="0.35">
      <c r="BW443" s="1" t="s">
        <v>848</v>
      </c>
    </row>
    <row r="444" spans="75:75" x14ac:dyDescent="0.35">
      <c r="BW444" s="1" t="s">
        <v>849</v>
      </c>
    </row>
    <row r="445" spans="75:75" x14ac:dyDescent="0.35">
      <c r="BW445" s="1" t="s">
        <v>850</v>
      </c>
    </row>
    <row r="446" spans="75:75" x14ac:dyDescent="0.35">
      <c r="BW446" s="1" t="s">
        <v>851</v>
      </c>
    </row>
    <row r="450" spans="75:75" x14ac:dyDescent="0.35">
      <c r="BW450" s="1" t="s">
        <v>852</v>
      </c>
    </row>
    <row r="451" spans="75:75" x14ac:dyDescent="0.35">
      <c r="BW451" s="1" t="s">
        <v>853</v>
      </c>
    </row>
    <row r="452" spans="75:75" x14ac:dyDescent="0.35">
      <c r="BW452" s="1" t="s">
        <v>595</v>
      </c>
    </row>
    <row r="453" spans="75:75" x14ac:dyDescent="0.35">
      <c r="BW453" s="1" t="s">
        <v>854</v>
      </c>
    </row>
    <row r="454" spans="75:75" x14ac:dyDescent="0.35">
      <c r="BW454" s="1" t="s">
        <v>855</v>
      </c>
    </row>
    <row r="455" spans="75:75" x14ac:dyDescent="0.35">
      <c r="BW455" s="1" t="s">
        <v>856</v>
      </c>
    </row>
    <row r="456" spans="75:75" x14ac:dyDescent="0.35">
      <c r="BW456" s="1" t="s">
        <v>857</v>
      </c>
    </row>
    <row r="457" spans="75:75" x14ac:dyDescent="0.35">
      <c r="BW457" s="1" t="s">
        <v>858</v>
      </c>
    </row>
    <row r="458" spans="75:75" x14ac:dyDescent="0.35">
      <c r="BW458" s="1" t="s">
        <v>859</v>
      </c>
    </row>
    <row r="459" spans="75:75" x14ac:dyDescent="0.35">
      <c r="BW459" s="1" t="s">
        <v>860</v>
      </c>
    </row>
    <row r="460" spans="75:75" x14ac:dyDescent="0.35">
      <c r="BW460" s="1" t="s">
        <v>861</v>
      </c>
    </row>
    <row r="461" spans="75:75" x14ac:dyDescent="0.35">
      <c r="BW461" s="1" t="s">
        <v>862</v>
      </c>
    </row>
    <row r="462" spans="75:75" x14ac:dyDescent="0.35">
      <c r="BW462" s="1" t="s">
        <v>856</v>
      </c>
    </row>
    <row r="463" spans="75:75" x14ac:dyDescent="0.35">
      <c r="BW463" s="1" t="s">
        <v>863</v>
      </c>
    </row>
    <row r="464" spans="75:75" x14ac:dyDescent="0.35">
      <c r="BW464" s="1" t="s">
        <v>864</v>
      </c>
    </row>
    <row r="465" spans="75:75" x14ac:dyDescent="0.35">
      <c r="BW465" s="1" t="s">
        <v>865</v>
      </c>
    </row>
    <row r="466" spans="75:75" x14ac:dyDescent="0.35">
      <c r="BW466" s="1" t="s">
        <v>866</v>
      </c>
    </row>
    <row r="468" spans="75:75" x14ac:dyDescent="0.35">
      <c r="BW468" s="1" t="s">
        <v>867</v>
      </c>
    </row>
    <row r="469" spans="75:75" x14ac:dyDescent="0.35">
      <c r="BW469" s="1" t="s">
        <v>868</v>
      </c>
    </row>
    <row r="470" spans="75:75" x14ac:dyDescent="0.35">
      <c r="BW470" s="1" t="s">
        <v>869</v>
      </c>
    </row>
    <row r="471" spans="75:75" x14ac:dyDescent="0.35">
      <c r="BW471" s="1" t="s">
        <v>856</v>
      </c>
    </row>
    <row r="472" spans="75:75" x14ac:dyDescent="0.35">
      <c r="BW472" s="1" t="s">
        <v>870</v>
      </c>
    </row>
    <row r="473" spans="75:75" x14ac:dyDescent="0.35">
      <c r="BW473" s="1" t="s">
        <v>871</v>
      </c>
    </row>
    <row r="474" spans="75:75" x14ac:dyDescent="0.35">
      <c r="BW474" s="1" t="s">
        <v>872</v>
      </c>
    </row>
    <row r="475" spans="75:75" x14ac:dyDescent="0.35">
      <c r="BW475" s="1" t="s">
        <v>873</v>
      </c>
    </row>
    <row r="476" spans="75:75" x14ac:dyDescent="0.35">
      <c r="BW476" s="1" t="s">
        <v>874</v>
      </c>
    </row>
    <row r="477" spans="75:75" x14ac:dyDescent="0.35">
      <c r="BW477" s="1" t="s">
        <v>875</v>
      </c>
    </row>
    <row r="478" spans="75:75" x14ac:dyDescent="0.35">
      <c r="BW478" s="1" t="s">
        <v>856</v>
      </c>
    </row>
    <row r="479" spans="75:75" x14ac:dyDescent="0.35">
      <c r="BW479" s="1" t="s">
        <v>876</v>
      </c>
    </row>
    <row r="480" spans="75:75" x14ac:dyDescent="0.35">
      <c r="BW480" s="1" t="s">
        <v>877</v>
      </c>
    </row>
    <row r="481" spans="75:75" x14ac:dyDescent="0.35">
      <c r="BW481" s="1" t="s">
        <v>878</v>
      </c>
    </row>
    <row r="482" spans="75:75" x14ac:dyDescent="0.35">
      <c r="BW482" s="1" t="s">
        <v>879</v>
      </c>
    </row>
    <row r="484" spans="75:75" x14ac:dyDescent="0.35">
      <c r="BW484" s="1" t="s">
        <v>880</v>
      </c>
    </row>
    <row r="485" spans="75:75" x14ac:dyDescent="0.35">
      <c r="BW485" s="1" t="s">
        <v>881</v>
      </c>
    </row>
    <row r="486" spans="75:75" x14ac:dyDescent="0.35">
      <c r="BW486" s="1" t="s">
        <v>882</v>
      </c>
    </row>
    <row r="487" spans="75:75" x14ac:dyDescent="0.35">
      <c r="BW487" s="1" t="s">
        <v>856</v>
      </c>
    </row>
    <row r="488" spans="75:75" x14ac:dyDescent="0.35">
      <c r="BW488" s="1" t="s">
        <v>883</v>
      </c>
    </row>
    <row r="489" spans="75:75" x14ac:dyDescent="0.35">
      <c r="BW489" s="1" t="s">
        <v>884</v>
      </c>
    </row>
    <row r="490" spans="75:75" x14ac:dyDescent="0.35">
      <c r="BW490" s="1" t="s">
        <v>885</v>
      </c>
    </row>
    <row r="491" spans="75:75" x14ac:dyDescent="0.35">
      <c r="BW491" s="1" t="s">
        <v>886</v>
      </c>
    </row>
    <row r="492" spans="75:75" x14ac:dyDescent="0.35">
      <c r="BW492" s="1" t="s">
        <v>887</v>
      </c>
    </row>
    <row r="493" spans="75:75" x14ac:dyDescent="0.35">
      <c r="BW493" s="1" t="s">
        <v>888</v>
      </c>
    </row>
    <row r="494" spans="75:75" x14ac:dyDescent="0.35">
      <c r="BW494" s="1" t="s">
        <v>856</v>
      </c>
    </row>
    <row r="495" spans="75:75" x14ac:dyDescent="0.35">
      <c r="BW495" s="1" t="s">
        <v>889</v>
      </c>
    </row>
    <row r="496" spans="75:75" x14ac:dyDescent="0.35">
      <c r="BW496" s="1" t="s">
        <v>890</v>
      </c>
    </row>
    <row r="497" spans="75:75" x14ac:dyDescent="0.35">
      <c r="BW497" s="1" t="s">
        <v>891</v>
      </c>
    </row>
    <row r="498" spans="75:75" x14ac:dyDescent="0.35">
      <c r="BW498" s="1" t="s">
        <v>879</v>
      </c>
    </row>
    <row r="499" spans="75:75" x14ac:dyDescent="0.35">
      <c r="BW499" s="1" t="s">
        <v>892</v>
      </c>
    </row>
    <row r="501" spans="75:75" ht="15.5" x14ac:dyDescent="0.35">
      <c r="BW501" s="73" t="s">
        <v>897</v>
      </c>
    </row>
    <row r="502" spans="75:75" x14ac:dyDescent="0.35">
      <c r="BW502" s="1" t="s">
        <v>893</v>
      </c>
    </row>
    <row r="503" spans="75:75" x14ac:dyDescent="0.35">
      <c r="BW503" s="1" t="s">
        <v>894</v>
      </c>
    </row>
    <row r="504" spans="75:75" x14ac:dyDescent="0.35">
      <c r="BW504" s="1" t="s">
        <v>895</v>
      </c>
    </row>
    <row r="505" spans="75:75" x14ac:dyDescent="0.35">
      <c r="BW505" s="1" t="s">
        <v>896</v>
      </c>
    </row>
    <row r="507" spans="75:75" ht="15.5" x14ac:dyDescent="0.35">
      <c r="BW507" s="73" t="s">
        <v>898</v>
      </c>
    </row>
    <row r="508" spans="75:75" x14ac:dyDescent="0.35">
      <c r="BW508" s="1" t="s">
        <v>899</v>
      </c>
    </row>
    <row r="509" spans="75:75" x14ac:dyDescent="0.35">
      <c r="BW509" s="1" t="s">
        <v>900</v>
      </c>
    </row>
    <row r="511" spans="75:75" x14ac:dyDescent="0.35">
      <c r="BW511" s="1" t="s">
        <v>901</v>
      </c>
    </row>
    <row r="512" spans="75:75" x14ac:dyDescent="0.35">
      <c r="BW512" s="1" t="s">
        <v>902</v>
      </c>
    </row>
    <row r="513" spans="75:75" x14ac:dyDescent="0.35">
      <c r="BW513" s="1" t="s">
        <v>903</v>
      </c>
    </row>
    <row r="514" spans="75:75" x14ac:dyDescent="0.35">
      <c r="BW514" s="1" t="s">
        <v>904</v>
      </c>
    </row>
    <row r="515" spans="75:75" x14ac:dyDescent="0.35">
      <c r="BW515" s="1" t="s">
        <v>765</v>
      </c>
    </row>
    <row r="516" spans="75:75" x14ac:dyDescent="0.35">
      <c r="BW516" s="1" t="s">
        <v>905</v>
      </c>
    </row>
    <row r="517" spans="75:75" x14ac:dyDescent="0.35">
      <c r="BW517" s="1" t="s">
        <v>906</v>
      </c>
    </row>
    <row r="518" spans="75:75" x14ac:dyDescent="0.35">
      <c r="BW518" s="1" t="s">
        <v>907</v>
      </c>
    </row>
    <row r="519" spans="75:75" x14ac:dyDescent="0.35">
      <c r="BW519" s="1" t="s">
        <v>920</v>
      </c>
    </row>
    <row r="520" spans="75:75" x14ac:dyDescent="0.35">
      <c r="BW520" s="1" t="s">
        <v>908</v>
      </c>
    </row>
    <row r="521" spans="75:75" x14ac:dyDescent="0.35">
      <c r="BW521" s="1" t="s">
        <v>902</v>
      </c>
    </row>
    <row r="522" spans="75:75" x14ac:dyDescent="0.35">
      <c r="BW522" s="1" t="s">
        <v>909</v>
      </c>
    </row>
    <row r="523" spans="75:75" x14ac:dyDescent="0.35">
      <c r="BW523" s="1" t="s">
        <v>910</v>
      </c>
    </row>
    <row r="524" spans="75:75" x14ac:dyDescent="0.35">
      <c r="BW524" s="1" t="s">
        <v>765</v>
      </c>
    </row>
    <row r="525" spans="75:75" x14ac:dyDescent="0.35">
      <c r="BW525" s="1" t="s">
        <v>911</v>
      </c>
    </row>
    <row r="526" spans="75:75" x14ac:dyDescent="0.35">
      <c r="BW526" s="1" t="s">
        <v>912</v>
      </c>
    </row>
    <row r="527" spans="75:75" x14ac:dyDescent="0.35">
      <c r="BW527" s="1" t="s">
        <v>913</v>
      </c>
    </row>
    <row r="528" spans="75:75" x14ac:dyDescent="0.35">
      <c r="BW528" s="1" t="s">
        <v>920</v>
      </c>
    </row>
    <row r="529" spans="75:75" x14ac:dyDescent="0.35">
      <c r="BW529" s="1" t="s">
        <v>914</v>
      </c>
    </row>
    <row r="530" spans="75:75" x14ac:dyDescent="0.35">
      <c r="BW530" s="1" t="s">
        <v>902</v>
      </c>
    </row>
    <row r="531" spans="75:75" x14ac:dyDescent="0.35">
      <c r="BW531" s="1" t="s">
        <v>915</v>
      </c>
    </row>
    <row r="532" spans="75:75" x14ac:dyDescent="0.35">
      <c r="BW532" s="1" t="s">
        <v>916</v>
      </c>
    </row>
    <row r="533" spans="75:75" x14ac:dyDescent="0.35">
      <c r="BW533" s="1" t="s">
        <v>765</v>
      </c>
    </row>
    <row r="534" spans="75:75" x14ac:dyDescent="0.35">
      <c r="BW534" s="1" t="s">
        <v>917</v>
      </c>
    </row>
    <row r="535" spans="75:75" x14ac:dyDescent="0.35">
      <c r="BW535" s="1" t="s">
        <v>918</v>
      </c>
    </row>
    <row r="536" spans="75:75" x14ac:dyDescent="0.35">
      <c r="BW536" s="1" t="s">
        <v>919</v>
      </c>
    </row>
    <row r="538" spans="75:75" x14ac:dyDescent="0.35">
      <c r="BW538" s="1" t="s">
        <v>479</v>
      </c>
    </row>
    <row r="539" spans="75:75" x14ac:dyDescent="0.35">
      <c r="BW539" s="1" t="s">
        <v>928</v>
      </c>
    </row>
    <row r="540" spans="75:75" x14ac:dyDescent="0.35">
      <c r="BW540" s="1" t="s">
        <v>880</v>
      </c>
    </row>
    <row r="541" spans="75:75" x14ac:dyDescent="0.35">
      <c r="BW541" s="1" t="s">
        <v>921</v>
      </c>
    </row>
    <row r="542" spans="75:75" x14ac:dyDescent="0.35">
      <c r="BW542" s="1" t="s">
        <v>922</v>
      </c>
    </row>
    <row r="543" spans="75:75" x14ac:dyDescent="0.35">
      <c r="BW543" s="1" t="s">
        <v>923</v>
      </c>
    </row>
    <row r="544" spans="75:75" x14ac:dyDescent="0.35">
      <c r="BW544" s="1" t="s">
        <v>928</v>
      </c>
    </row>
    <row r="545" spans="75:75" x14ac:dyDescent="0.35">
      <c r="BW545" s="1" t="s">
        <v>924</v>
      </c>
    </row>
    <row r="546" spans="75:75" x14ac:dyDescent="0.35">
      <c r="BW546" s="1" t="s">
        <v>925</v>
      </c>
    </row>
    <row r="547" spans="75:75" x14ac:dyDescent="0.35">
      <c r="BW547" s="1" t="s">
        <v>926</v>
      </c>
    </row>
    <row r="548" spans="75:75" x14ac:dyDescent="0.35">
      <c r="BW548" s="1" t="s">
        <v>927</v>
      </c>
    </row>
    <row r="550" spans="75:75" x14ac:dyDescent="0.35">
      <c r="BW550" s="79" t="s">
        <v>929</v>
      </c>
    </row>
    <row r="551" spans="75:75" x14ac:dyDescent="0.35">
      <c r="BW551" s="1" t="s">
        <v>930</v>
      </c>
    </row>
    <row r="553" spans="75:75" x14ac:dyDescent="0.35">
      <c r="BW553" s="1" t="s">
        <v>931</v>
      </c>
    </row>
    <row r="554" spans="75:75" x14ac:dyDescent="0.35">
      <c r="BW554" s="1" t="s">
        <v>932</v>
      </c>
    </row>
    <row r="555" spans="75:75" x14ac:dyDescent="0.35">
      <c r="BW555" s="1" t="s">
        <v>933</v>
      </c>
    </row>
    <row r="556" spans="75:75" x14ac:dyDescent="0.35">
      <c r="BW556" s="1" t="s">
        <v>765</v>
      </c>
    </row>
    <row r="557" spans="75:75" x14ac:dyDescent="0.35">
      <c r="BW557" s="1" t="s">
        <v>934</v>
      </c>
    </row>
    <row r="558" spans="75:75" x14ac:dyDescent="0.35">
      <c r="BW558" s="1" t="s">
        <v>935</v>
      </c>
    </row>
    <row r="559" spans="75:75" x14ac:dyDescent="0.35">
      <c r="BW559" s="1" t="s">
        <v>768</v>
      </c>
    </row>
    <row r="560" spans="75:75" x14ac:dyDescent="0.35">
      <c r="BW560" s="1" t="s">
        <v>936</v>
      </c>
    </row>
    <row r="561" spans="75:75" x14ac:dyDescent="0.35">
      <c r="BW561" s="1" t="s">
        <v>937</v>
      </c>
    </row>
    <row r="562" spans="75:75" x14ac:dyDescent="0.35">
      <c r="BW562" s="1" t="s">
        <v>765</v>
      </c>
    </row>
    <row r="563" spans="75:75" x14ac:dyDescent="0.35">
      <c r="BW563" s="1" t="s">
        <v>938</v>
      </c>
    </row>
    <row r="564" spans="75:75" x14ac:dyDescent="0.35">
      <c r="BW564" s="1" t="s">
        <v>939</v>
      </c>
    </row>
    <row r="566" spans="75:75" x14ac:dyDescent="0.35">
      <c r="BW566" s="1" t="s">
        <v>943</v>
      </c>
    </row>
    <row r="567" spans="75:75" x14ac:dyDescent="0.35">
      <c r="BW567" s="1" t="s">
        <v>944</v>
      </c>
    </row>
    <row r="568" spans="75:75" x14ac:dyDescent="0.35">
      <c r="BW568" s="1" t="s">
        <v>945</v>
      </c>
    </row>
    <row r="569" spans="75:75" x14ac:dyDescent="0.35">
      <c r="BW569" s="1" t="s">
        <v>946</v>
      </c>
    </row>
    <row r="570" spans="75:75" x14ac:dyDescent="0.35">
      <c r="BW570" s="1" t="s">
        <v>947</v>
      </c>
    </row>
    <row r="571" spans="75:75" x14ac:dyDescent="0.35">
      <c r="BW571" s="1" t="s">
        <v>948</v>
      </c>
    </row>
    <row r="572" spans="75:75" x14ac:dyDescent="0.35">
      <c r="BW572" s="1" t="s">
        <v>949</v>
      </c>
    </row>
    <row r="573" spans="75:75" x14ac:dyDescent="0.35">
      <c r="BW573" s="1" t="s">
        <v>950</v>
      </c>
    </row>
    <row r="575" spans="75:75" x14ac:dyDescent="0.35">
      <c r="BW575" s="1" t="s">
        <v>967</v>
      </c>
    </row>
    <row r="576" spans="75:75" ht="15.5" x14ac:dyDescent="0.35">
      <c r="BW576" s="73" t="s">
        <v>968</v>
      </c>
    </row>
    <row r="577" spans="75:75" ht="15.5" x14ac:dyDescent="0.35">
      <c r="BW577" s="73" t="s">
        <v>969</v>
      </c>
    </row>
    <row r="578" spans="75:75" ht="15.5" x14ac:dyDescent="0.35">
      <c r="BW578" s="73" t="s">
        <v>970</v>
      </c>
    </row>
    <row r="579" spans="75:75" ht="15.5" x14ac:dyDescent="0.35">
      <c r="BW579" s="73" t="s">
        <v>971</v>
      </c>
    </row>
    <row r="580" spans="75:75" ht="15.5" x14ac:dyDescent="0.35">
      <c r="BW580" s="73" t="s">
        <v>972</v>
      </c>
    </row>
    <row r="581" spans="75:75" ht="15.5" x14ac:dyDescent="0.35">
      <c r="BW581" s="73" t="s">
        <v>973</v>
      </c>
    </row>
    <row r="582" spans="75:75" x14ac:dyDescent="0.35">
      <c r="BW582" s="1" t="s">
        <v>974</v>
      </c>
    </row>
    <row r="583" spans="75:75" ht="15.5" x14ac:dyDescent="0.35">
      <c r="BW583" s="73" t="s">
        <v>975</v>
      </c>
    </row>
    <row r="584" spans="75:75" ht="15.5" x14ac:dyDescent="0.35">
      <c r="BW584" s="73" t="s">
        <v>976</v>
      </c>
    </row>
    <row r="585" spans="75:75" ht="15.5" x14ac:dyDescent="0.35">
      <c r="BW585" s="73" t="s">
        <v>977</v>
      </c>
    </row>
    <row r="586" spans="75:75" ht="15.5" x14ac:dyDescent="0.35">
      <c r="BW586" s="73" t="s">
        <v>978</v>
      </c>
    </row>
    <row r="587" spans="75:75" ht="15.5" x14ac:dyDescent="0.35">
      <c r="BW587" s="73" t="s">
        <v>979</v>
      </c>
    </row>
    <row r="588" spans="75:75" ht="15.5" x14ac:dyDescent="0.35">
      <c r="BW588" s="73" t="s">
        <v>980</v>
      </c>
    </row>
    <row r="590" spans="75:75" ht="15.5" x14ac:dyDescent="0.35">
      <c r="BW590" s="73" t="s">
        <v>981</v>
      </c>
    </row>
    <row r="591" spans="75:75" x14ac:dyDescent="0.35">
      <c r="BW591" s="1" t="s">
        <v>982</v>
      </c>
    </row>
    <row r="592" spans="75:75" x14ac:dyDescent="0.35">
      <c r="BW592" s="1" t="s">
        <v>983</v>
      </c>
    </row>
    <row r="593" spans="75:75" x14ac:dyDescent="0.35">
      <c r="BW593" s="1" t="s">
        <v>984</v>
      </c>
    </row>
    <row r="595" spans="75:75" x14ac:dyDescent="0.35">
      <c r="BW595" s="1" t="s">
        <v>985</v>
      </c>
    </row>
    <row r="596" spans="75:75" x14ac:dyDescent="0.35">
      <c r="BW596" s="1" t="s">
        <v>986</v>
      </c>
    </row>
    <row r="597" spans="75:75" x14ac:dyDescent="0.35">
      <c r="BW597" s="1" t="s">
        <v>987</v>
      </c>
    </row>
    <row r="599" spans="75:75" x14ac:dyDescent="0.35">
      <c r="BW599" s="1" t="s">
        <v>988</v>
      </c>
    </row>
    <row r="600" spans="75:75" x14ac:dyDescent="0.35">
      <c r="BW600" s="80" t="s">
        <v>989</v>
      </c>
    </row>
    <row r="601" spans="75:75" x14ac:dyDescent="0.35">
      <c r="BW601" s="80" t="s">
        <v>991</v>
      </c>
    </row>
    <row r="602" spans="75:75" x14ac:dyDescent="0.35">
      <c r="BW602" s="80" t="s">
        <v>992</v>
      </c>
    </row>
    <row r="603" spans="75:75" x14ac:dyDescent="0.35">
      <c r="BW603" s="80" t="s">
        <v>993</v>
      </c>
    </row>
    <row r="604" spans="75:75" x14ac:dyDescent="0.35">
      <c r="BW604" s="80" t="s">
        <v>994</v>
      </c>
    </row>
    <row r="605" spans="75:75" x14ac:dyDescent="0.35">
      <c r="BW605" s="80" t="s">
        <v>995</v>
      </c>
    </row>
    <row r="606" spans="75:75" x14ac:dyDescent="0.35">
      <c r="BW606" s="81" t="s">
        <v>996</v>
      </c>
    </row>
    <row r="608" spans="75:75" x14ac:dyDescent="0.35">
      <c r="BW608" s="80" t="s">
        <v>997</v>
      </c>
    </row>
    <row r="609" spans="75:75" x14ac:dyDescent="0.35">
      <c r="BW609" s="1" t="s">
        <v>998</v>
      </c>
    </row>
    <row r="610" spans="75:75" x14ac:dyDescent="0.35">
      <c r="BW610" s="1" t="s">
        <v>999</v>
      </c>
    </row>
    <row r="611" spans="75:75" x14ac:dyDescent="0.35">
      <c r="BW611" s="1" t="s">
        <v>1000</v>
      </c>
    </row>
    <row r="612" spans="75:75" x14ac:dyDescent="0.35">
      <c r="BW612" s="1" t="s">
        <v>1001</v>
      </c>
    </row>
    <row r="613" spans="75:75" x14ac:dyDescent="0.35">
      <c r="BW613" s="1" t="s">
        <v>1002</v>
      </c>
    </row>
    <row r="614" spans="75:75" x14ac:dyDescent="0.35">
      <c r="BW614" s="1" t="s">
        <v>1003</v>
      </c>
    </row>
    <row r="616" spans="75:75" x14ac:dyDescent="0.35">
      <c r="BW616" s="1" t="s">
        <v>1004</v>
      </c>
    </row>
    <row r="617" spans="75:75" x14ac:dyDescent="0.35">
      <c r="BW617" s="80" t="s">
        <v>1005</v>
      </c>
    </row>
    <row r="618" spans="75:75" x14ac:dyDescent="0.35">
      <c r="BW618" s="80" t="s">
        <v>990</v>
      </c>
    </row>
    <row r="619" spans="75:75" x14ac:dyDescent="0.35">
      <c r="BW619" s="80" t="s">
        <v>1006</v>
      </c>
    </row>
    <row r="620" spans="75:75" x14ac:dyDescent="0.35">
      <c r="BW620" s="80" t="s">
        <v>1007</v>
      </c>
    </row>
    <row r="621" spans="75:75" x14ac:dyDescent="0.35">
      <c r="BW621" s="80" t="s">
        <v>1008</v>
      </c>
    </row>
    <row r="622" spans="75:75" x14ac:dyDescent="0.35">
      <c r="BW622" s="80" t="s">
        <v>1009</v>
      </c>
    </row>
    <row r="623" spans="75:75" x14ac:dyDescent="0.35">
      <c r="BW623" s="80" t="s">
        <v>1010</v>
      </c>
    </row>
    <row r="625" spans="75:75" x14ac:dyDescent="0.35">
      <c r="BW625" s="80" t="s">
        <v>1011</v>
      </c>
    </row>
    <row r="626" spans="75:75" x14ac:dyDescent="0.35">
      <c r="BW626" s="1" t="s">
        <v>1012</v>
      </c>
    </row>
    <row r="627" spans="75:75" x14ac:dyDescent="0.35">
      <c r="BW627" s="1" t="s">
        <v>1013</v>
      </c>
    </row>
    <row r="628" spans="75:75" x14ac:dyDescent="0.35">
      <c r="BW628" s="1" t="s">
        <v>1014</v>
      </c>
    </row>
    <row r="629" spans="75:75" x14ac:dyDescent="0.35">
      <c r="BW629" s="1" t="s">
        <v>1015</v>
      </c>
    </row>
    <row r="630" spans="75:75" x14ac:dyDescent="0.35">
      <c r="BW630" s="1" t="s">
        <v>1016</v>
      </c>
    </row>
    <row r="631" spans="75:75" x14ac:dyDescent="0.35">
      <c r="BW631" s="1" t="s">
        <v>1017</v>
      </c>
    </row>
    <row r="632" spans="75:75" x14ac:dyDescent="0.35">
      <c r="BW632" s="1" t="s">
        <v>1018</v>
      </c>
    </row>
    <row r="633" spans="75:75" x14ac:dyDescent="0.35">
      <c r="BW633" s="1" t="s">
        <v>1019</v>
      </c>
    </row>
    <row r="635" spans="75:75" x14ac:dyDescent="0.35">
      <c r="BW635" s="1" t="s">
        <v>1020</v>
      </c>
    </row>
    <row r="636" spans="75:75" ht="15.5" x14ac:dyDescent="0.35">
      <c r="BW636" s="73" t="s">
        <v>1021</v>
      </c>
    </row>
    <row r="637" spans="75:75" ht="15.5" x14ac:dyDescent="0.35">
      <c r="BW637" s="73" t="s">
        <v>1022</v>
      </c>
    </row>
    <row r="638" spans="75:75" ht="15.5" x14ac:dyDescent="0.35">
      <c r="BW638" s="73" t="s">
        <v>1023</v>
      </c>
    </row>
    <row r="639" spans="75:75" ht="15.5" x14ac:dyDescent="0.35">
      <c r="BW639" s="73" t="s">
        <v>1024</v>
      </c>
    </row>
    <row r="640" spans="75:75" ht="15.5" x14ac:dyDescent="0.35">
      <c r="BW640" s="73" t="s">
        <v>1025</v>
      </c>
    </row>
    <row r="641" spans="75:75" ht="15.5" x14ac:dyDescent="0.35">
      <c r="BW641" s="73" t="s">
        <v>1026</v>
      </c>
    </row>
    <row r="642" spans="75:75" x14ac:dyDescent="0.35">
      <c r="BW642" s="1" t="s">
        <v>974</v>
      </c>
    </row>
    <row r="643" spans="75:75" ht="15.5" x14ac:dyDescent="0.35">
      <c r="BW643" s="73" t="s">
        <v>1027</v>
      </c>
    </row>
    <row r="644" spans="75:75" ht="15.5" x14ac:dyDescent="0.35">
      <c r="BW644" s="73" t="s">
        <v>1028</v>
      </c>
    </row>
    <row r="645" spans="75:75" ht="15.5" x14ac:dyDescent="0.35">
      <c r="BW645" s="73" t="s">
        <v>1024</v>
      </c>
    </row>
    <row r="646" spans="75:75" ht="15.5" x14ac:dyDescent="0.35">
      <c r="BW646" s="73" t="s">
        <v>1029</v>
      </c>
    </row>
    <row r="647" spans="75:75" ht="15.5" x14ac:dyDescent="0.35">
      <c r="BW647" s="73" t="s">
        <v>1030</v>
      </c>
    </row>
  </sheetData>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7C53-1B94-411A-87AC-F91917E85074}">
  <dimension ref="A1:E48"/>
  <sheetViews>
    <sheetView workbookViewId="0">
      <selection activeCell="B2" sqref="B2"/>
    </sheetView>
  </sheetViews>
  <sheetFormatPr defaultRowHeight="14.5" x14ac:dyDescent="0.35"/>
  <cols>
    <col min="1" max="1" width="13.90625" customWidth="1"/>
    <col min="2" max="2" width="13.453125" customWidth="1"/>
    <col min="3" max="3" width="21.1796875" customWidth="1"/>
    <col min="4" max="4" width="13" customWidth="1"/>
    <col min="5" max="5" width="16.81640625" customWidth="1"/>
  </cols>
  <sheetData>
    <row r="1" spans="1:5" ht="21" x14ac:dyDescent="0.5">
      <c r="A1" s="32" t="s">
        <v>1087</v>
      </c>
    </row>
    <row r="2" spans="1:5" x14ac:dyDescent="0.35">
      <c r="B2" t="s">
        <v>1099</v>
      </c>
      <c r="C2" s="4" t="s">
        <v>365</v>
      </c>
      <c r="D2" s="63"/>
    </row>
    <row r="3" spans="1:5" ht="44.5" x14ac:dyDescent="0.45">
      <c r="A3" s="84"/>
      <c r="B3" s="9" t="s">
        <v>37</v>
      </c>
      <c r="C3" s="2" t="s">
        <v>38</v>
      </c>
      <c r="D3" s="12" t="s">
        <v>1085</v>
      </c>
      <c r="E3" s="12" t="s">
        <v>1086</v>
      </c>
    </row>
    <row r="4" spans="1:5" ht="18.5" x14ac:dyDescent="0.45">
      <c r="A4" s="44"/>
      <c r="B4" s="9" t="s">
        <v>201</v>
      </c>
      <c r="C4" t="s">
        <v>202</v>
      </c>
      <c r="D4" s="54">
        <v>37.6</v>
      </c>
      <c r="E4" s="71">
        <v>4.2727272727272725</v>
      </c>
    </row>
    <row r="5" spans="1:5" ht="18.5" x14ac:dyDescent="0.45">
      <c r="A5" s="44"/>
      <c r="B5" s="9" t="s">
        <v>17</v>
      </c>
      <c r="C5" t="s">
        <v>56</v>
      </c>
      <c r="D5" s="54">
        <v>55.28</v>
      </c>
      <c r="E5" s="71">
        <v>4.1626506024096388</v>
      </c>
    </row>
    <row r="6" spans="1:5" ht="18.5" x14ac:dyDescent="0.45">
      <c r="A6" s="44"/>
      <c r="B6" s="9" t="s">
        <v>172</v>
      </c>
      <c r="C6" t="s">
        <v>173</v>
      </c>
      <c r="D6" s="54">
        <v>27</v>
      </c>
      <c r="E6" s="71">
        <v>4</v>
      </c>
    </row>
    <row r="7" spans="1:5" ht="18.5" x14ac:dyDescent="0.45">
      <c r="A7" s="44"/>
      <c r="B7" s="9" t="s">
        <v>285</v>
      </c>
      <c r="C7" t="s">
        <v>286</v>
      </c>
      <c r="D7" s="54">
        <v>49.7</v>
      </c>
      <c r="E7" s="71">
        <v>3.8828125</v>
      </c>
    </row>
    <row r="8" spans="1:5" ht="18.5" x14ac:dyDescent="0.45">
      <c r="A8" s="44"/>
      <c r="B8" s="9" t="s">
        <v>35</v>
      </c>
      <c r="C8" t="s">
        <v>57</v>
      </c>
      <c r="D8" s="54">
        <v>52</v>
      </c>
      <c r="E8" s="71">
        <v>3.8433111603843315</v>
      </c>
    </row>
    <row r="9" spans="1:5" ht="18.5" x14ac:dyDescent="0.45">
      <c r="A9" s="44"/>
      <c r="B9" s="9" t="s">
        <v>1076</v>
      </c>
      <c r="C9" t="s">
        <v>1077</v>
      </c>
      <c r="D9" s="54">
        <v>55.84</v>
      </c>
      <c r="E9" s="71">
        <v>3.6259740259740263</v>
      </c>
    </row>
    <row r="10" spans="1:5" ht="18.5" x14ac:dyDescent="0.45">
      <c r="A10" s="44"/>
      <c r="B10" s="9" t="s">
        <v>169</v>
      </c>
      <c r="C10" t="s">
        <v>170</v>
      </c>
      <c r="D10" s="54">
        <v>44.5</v>
      </c>
      <c r="E10" s="71">
        <v>3.6223036223036225</v>
      </c>
    </row>
    <row r="11" spans="1:5" ht="18.5" x14ac:dyDescent="0.45">
      <c r="A11" s="44"/>
      <c r="B11" s="9" t="s">
        <v>26</v>
      </c>
      <c r="C11" t="s">
        <v>27</v>
      </c>
      <c r="D11" s="54">
        <v>31.2</v>
      </c>
      <c r="E11" s="71">
        <v>3.458980044345898</v>
      </c>
    </row>
    <row r="12" spans="1:5" ht="18.5" x14ac:dyDescent="0.45">
      <c r="A12" s="44"/>
      <c r="B12" s="9" t="s">
        <v>641</v>
      </c>
      <c r="C12" t="s">
        <v>642</v>
      </c>
      <c r="D12" s="54">
        <v>39.909999999999997</v>
      </c>
      <c r="E12" s="71">
        <v>3.3980417198808004</v>
      </c>
    </row>
    <row r="13" spans="1:5" ht="18.5" x14ac:dyDescent="0.45">
      <c r="A13" s="44"/>
      <c r="B13" s="9" t="s">
        <v>261</v>
      </c>
      <c r="C13" t="s">
        <v>262</v>
      </c>
      <c r="D13" s="54">
        <v>37</v>
      </c>
      <c r="E13" s="71">
        <v>3.3035714285714288</v>
      </c>
    </row>
    <row r="14" spans="1:5" ht="18.5" x14ac:dyDescent="0.45">
      <c r="A14" s="44"/>
      <c r="B14" s="9" t="s">
        <v>1089</v>
      </c>
      <c r="C14" t="s">
        <v>143</v>
      </c>
      <c r="D14" s="54">
        <v>36.549999999999997</v>
      </c>
      <c r="E14" s="71">
        <v>3.19493006993007</v>
      </c>
    </row>
    <row r="15" spans="1:5" ht="18.5" x14ac:dyDescent="0.45">
      <c r="A15" s="44"/>
      <c r="B15" s="9" t="s">
        <v>152</v>
      </c>
      <c r="C15" t="s">
        <v>159</v>
      </c>
      <c r="D15" s="54">
        <v>37</v>
      </c>
      <c r="E15" s="71">
        <v>3.1040268456375841</v>
      </c>
    </row>
    <row r="16" spans="1:5" ht="18.5" x14ac:dyDescent="0.45">
      <c r="A16" s="44"/>
      <c r="B16" s="9" t="s">
        <v>1093</v>
      </c>
      <c r="C16" t="s">
        <v>1094</v>
      </c>
      <c r="D16" s="86">
        <v>41.51</v>
      </c>
      <c r="E16" s="83">
        <v>3.0343567251461989</v>
      </c>
    </row>
    <row r="17" spans="1:5" ht="18.5" x14ac:dyDescent="0.45">
      <c r="A17" s="44"/>
      <c r="B17" s="9" t="s">
        <v>1031</v>
      </c>
      <c r="C17" t="s">
        <v>1032</v>
      </c>
      <c r="D17" s="85">
        <v>37</v>
      </c>
      <c r="E17" s="83">
        <v>3.0327868852459017</v>
      </c>
    </row>
    <row r="18" spans="1:5" ht="18.5" x14ac:dyDescent="0.45">
      <c r="A18" s="44" t="s">
        <v>755</v>
      </c>
      <c r="B18" s="9" t="s">
        <v>306</v>
      </c>
      <c r="C18" t="s">
        <v>305</v>
      </c>
      <c r="D18" s="54">
        <v>28.79</v>
      </c>
      <c r="E18" s="71">
        <v>2.7007504690431516</v>
      </c>
    </row>
    <row r="19" spans="1:5" ht="18.5" x14ac:dyDescent="0.45">
      <c r="A19" s="44" t="s">
        <v>755</v>
      </c>
      <c r="B19" s="9" t="s">
        <v>230</v>
      </c>
      <c r="C19" t="s">
        <v>231</v>
      </c>
      <c r="D19" s="54">
        <v>29.2</v>
      </c>
      <c r="E19" s="71">
        <v>2.6449275362318843</v>
      </c>
    </row>
    <row r="20" spans="1:5" ht="18.5" x14ac:dyDescent="0.45">
      <c r="A20" s="44" t="s">
        <v>755</v>
      </c>
      <c r="B20" s="9" t="s">
        <v>1088</v>
      </c>
      <c r="C20" t="s">
        <v>1091</v>
      </c>
      <c r="D20" s="54">
        <v>27.5</v>
      </c>
      <c r="E20" s="71">
        <v>2.6041666666666665</v>
      </c>
    </row>
    <row r="21" spans="1:5" ht="18.5" x14ac:dyDescent="0.45">
      <c r="A21" s="44" t="s">
        <v>755</v>
      </c>
      <c r="B21" s="9" t="s">
        <v>220</v>
      </c>
      <c r="C21" t="s">
        <v>221</v>
      </c>
      <c r="D21" s="54">
        <v>29.2</v>
      </c>
      <c r="E21" s="71">
        <v>2.5614035087719298</v>
      </c>
    </row>
    <row r="22" spans="1:5" ht="18.5" x14ac:dyDescent="0.45">
      <c r="A22" s="44" t="s">
        <v>755</v>
      </c>
      <c r="B22" s="9" t="s">
        <v>304</v>
      </c>
      <c r="C22" t="s">
        <v>289</v>
      </c>
      <c r="D22" s="54">
        <v>25.5</v>
      </c>
      <c r="E22" s="71">
        <v>2.4519230769230766</v>
      </c>
    </row>
    <row r="23" spans="1:5" ht="18.5" x14ac:dyDescent="0.45">
      <c r="A23" s="44" t="s">
        <v>755</v>
      </c>
      <c r="B23" s="9" t="s">
        <v>248</v>
      </c>
      <c r="C23" t="s">
        <v>249</v>
      </c>
      <c r="D23" s="54">
        <v>30.4</v>
      </c>
      <c r="E23" s="71">
        <v>2.4050632911392404</v>
      </c>
    </row>
    <row r="24" spans="1:5" ht="18.5" x14ac:dyDescent="0.45">
      <c r="A24" s="44" t="s">
        <v>755</v>
      </c>
      <c r="B24" s="9" t="s">
        <v>375</v>
      </c>
      <c r="C24" t="s">
        <v>429</v>
      </c>
      <c r="D24" s="54">
        <v>35.5</v>
      </c>
      <c r="E24" s="71">
        <v>2.385752688172043</v>
      </c>
    </row>
    <row r="25" spans="1:5" ht="18.5" x14ac:dyDescent="0.45">
      <c r="A25" s="44" t="s">
        <v>755</v>
      </c>
      <c r="B25" s="9" t="s">
        <v>560</v>
      </c>
      <c r="C25" t="s">
        <v>561</v>
      </c>
      <c r="D25" s="54">
        <v>34</v>
      </c>
      <c r="E25" s="71">
        <v>2.3351648351648353</v>
      </c>
    </row>
    <row r="26" spans="1:5" ht="18.5" x14ac:dyDescent="0.45">
      <c r="A26" s="44" t="s">
        <v>755</v>
      </c>
      <c r="B26" s="9" t="s">
        <v>53</v>
      </c>
      <c r="C26" t="s">
        <v>54</v>
      </c>
      <c r="D26" s="54">
        <v>30.5</v>
      </c>
      <c r="E26" s="71">
        <v>2.2592592592592591</v>
      </c>
    </row>
    <row r="27" spans="1:5" ht="18.5" x14ac:dyDescent="0.45">
      <c r="A27" s="44" t="s">
        <v>755</v>
      </c>
      <c r="B27" s="9" t="s">
        <v>117</v>
      </c>
      <c r="C27" t="s">
        <v>118</v>
      </c>
      <c r="D27" s="85">
        <v>22.8</v>
      </c>
      <c r="E27" s="83">
        <v>1.7117117117117118</v>
      </c>
    </row>
    <row r="28" spans="1:5" ht="18.5" x14ac:dyDescent="0.45">
      <c r="A28" s="44" t="s">
        <v>755</v>
      </c>
      <c r="B28" s="9" t="s">
        <v>123</v>
      </c>
      <c r="C28" t="s">
        <v>151</v>
      </c>
      <c r="D28" s="54">
        <v>13.3</v>
      </c>
      <c r="E28" s="71">
        <v>1.557377049180328</v>
      </c>
    </row>
    <row r="29" spans="1:5" ht="18.5" x14ac:dyDescent="0.45">
      <c r="A29" s="44" t="s">
        <v>755</v>
      </c>
      <c r="B29" s="9" t="s">
        <v>1095</v>
      </c>
      <c r="C29" t="s">
        <v>1096</v>
      </c>
      <c r="D29" s="54">
        <v>13.57</v>
      </c>
      <c r="E29" s="71">
        <v>1.451336898395722</v>
      </c>
    </row>
    <row r="30" spans="1:5" ht="18.5" x14ac:dyDescent="0.45">
      <c r="A30" s="44" t="s">
        <v>755</v>
      </c>
      <c r="B30" s="9" t="s">
        <v>7</v>
      </c>
      <c r="C30" t="s">
        <v>55</v>
      </c>
      <c r="D30" s="54">
        <v>14.34</v>
      </c>
      <c r="E30" s="71">
        <v>1.4198019801980197</v>
      </c>
    </row>
    <row r="31" spans="1:5" ht="18.5" x14ac:dyDescent="0.45">
      <c r="A31" s="44" t="s">
        <v>755</v>
      </c>
      <c r="B31" s="9" t="s">
        <v>331</v>
      </c>
      <c r="C31" t="s">
        <v>97</v>
      </c>
      <c r="D31" s="54">
        <v>12.2</v>
      </c>
      <c r="E31" s="71">
        <v>1.2512820512820513</v>
      </c>
    </row>
    <row r="32" spans="1:5" ht="18.5" x14ac:dyDescent="0.45">
      <c r="A32" s="44" t="s">
        <v>755</v>
      </c>
      <c r="B32" s="9" t="s">
        <v>70</v>
      </c>
      <c r="C32" t="s">
        <v>71</v>
      </c>
      <c r="D32" s="54"/>
      <c r="E32" s="71">
        <v>0</v>
      </c>
    </row>
    <row r="33" spans="1:5" ht="18.5" x14ac:dyDescent="0.45">
      <c r="A33" s="44" t="s">
        <v>755</v>
      </c>
      <c r="B33" s="9" t="s">
        <v>329</v>
      </c>
      <c r="C33" t="s">
        <v>85</v>
      </c>
      <c r="D33" s="54"/>
      <c r="E33" s="71">
        <v>0</v>
      </c>
    </row>
    <row r="34" spans="1:5" ht="18.5" x14ac:dyDescent="0.45">
      <c r="A34" s="44" t="s">
        <v>755</v>
      </c>
      <c r="B34" s="9" t="s">
        <v>108</v>
      </c>
      <c r="C34" t="s">
        <v>109</v>
      </c>
      <c r="D34" s="54"/>
      <c r="E34" s="71">
        <v>0</v>
      </c>
    </row>
    <row r="35" spans="1:5" ht="18.5" x14ac:dyDescent="0.45">
      <c r="A35" s="44" t="s">
        <v>755</v>
      </c>
      <c r="B35" s="9" t="s">
        <v>136</v>
      </c>
      <c r="C35" t="s">
        <v>137</v>
      </c>
      <c r="D35" s="54"/>
      <c r="E35" s="71">
        <v>0</v>
      </c>
    </row>
    <row r="36" spans="1:5" ht="18.5" x14ac:dyDescent="0.45">
      <c r="A36" s="44" t="s">
        <v>755</v>
      </c>
      <c r="B36" s="9" t="s">
        <v>142</v>
      </c>
      <c r="C36" t="s">
        <v>143</v>
      </c>
      <c r="D36" s="54"/>
      <c r="E36" s="71">
        <v>0</v>
      </c>
    </row>
    <row r="37" spans="1:5" ht="18.5" x14ac:dyDescent="0.45">
      <c r="A37" s="44" t="s">
        <v>755</v>
      </c>
      <c r="B37" s="9" t="s">
        <v>182</v>
      </c>
      <c r="C37" t="s">
        <v>183</v>
      </c>
      <c r="D37" s="54"/>
      <c r="E37" s="71">
        <v>0</v>
      </c>
    </row>
    <row r="38" spans="1:5" ht="18.5" x14ac:dyDescent="0.45">
      <c r="A38" s="44" t="s">
        <v>755</v>
      </c>
      <c r="B38" s="9" t="s">
        <v>204</v>
      </c>
      <c r="C38" t="s">
        <v>210</v>
      </c>
      <c r="D38" s="54"/>
      <c r="E38" s="71">
        <v>0</v>
      </c>
    </row>
    <row r="39" spans="1:5" ht="18.5" x14ac:dyDescent="0.45">
      <c r="A39" s="44" t="s">
        <v>755</v>
      </c>
      <c r="B39" s="9" t="s">
        <v>240</v>
      </c>
      <c r="C39" t="s">
        <v>143</v>
      </c>
      <c r="D39" s="54"/>
      <c r="E39" s="71">
        <v>0</v>
      </c>
    </row>
    <row r="40" spans="1:5" ht="18.5" x14ac:dyDescent="0.45">
      <c r="A40" s="44" t="s">
        <v>755</v>
      </c>
      <c r="B40" s="9" t="s">
        <v>288</v>
      </c>
      <c r="C40" t="s">
        <v>289</v>
      </c>
      <c r="D40" s="54"/>
      <c r="E40" s="71">
        <v>0</v>
      </c>
    </row>
    <row r="41" spans="1:5" ht="18.5" x14ac:dyDescent="0.45">
      <c r="A41" s="44" t="s">
        <v>755</v>
      </c>
      <c r="B41" s="9" t="s">
        <v>312</v>
      </c>
      <c r="C41" t="s">
        <v>313</v>
      </c>
      <c r="D41" s="85"/>
      <c r="E41" s="83">
        <v>0</v>
      </c>
    </row>
    <row r="42" spans="1:5" ht="18.5" x14ac:dyDescent="0.45">
      <c r="A42" s="44" t="s">
        <v>755</v>
      </c>
      <c r="B42" s="9" t="s">
        <v>308</v>
      </c>
      <c r="C42" t="s">
        <v>309</v>
      </c>
      <c r="D42" s="54"/>
      <c r="E42" s="71">
        <v>0</v>
      </c>
    </row>
    <row r="43" spans="1:5" ht="18.5" x14ac:dyDescent="0.45">
      <c r="A43" s="44" t="s">
        <v>755</v>
      </c>
      <c r="B43" s="9" t="s">
        <v>349</v>
      </c>
      <c r="C43" t="s">
        <v>346</v>
      </c>
      <c r="D43" s="54"/>
      <c r="E43" s="71">
        <v>0</v>
      </c>
    </row>
    <row r="44" spans="1:5" ht="18.5" x14ac:dyDescent="0.45">
      <c r="B44" s="9" t="s">
        <v>528</v>
      </c>
      <c r="C44" t="s">
        <v>562</v>
      </c>
      <c r="D44" s="54"/>
      <c r="E44" s="71">
        <v>0</v>
      </c>
    </row>
    <row r="45" spans="1:5" ht="18.5" x14ac:dyDescent="0.45">
      <c r="B45" s="9" t="s">
        <v>582</v>
      </c>
      <c r="C45" t="s">
        <v>610</v>
      </c>
      <c r="D45" s="54"/>
      <c r="E45" s="71">
        <v>0</v>
      </c>
    </row>
    <row r="46" spans="1:5" ht="18.5" x14ac:dyDescent="0.45">
      <c r="B46" s="9" t="s">
        <v>659</v>
      </c>
      <c r="C46" t="s">
        <v>661</v>
      </c>
      <c r="D46" s="54"/>
      <c r="E46" s="71">
        <v>0</v>
      </c>
    </row>
    <row r="47" spans="1:5" ht="18.5" x14ac:dyDescent="0.45">
      <c r="B47" s="9" t="s">
        <v>674</v>
      </c>
      <c r="C47" t="s">
        <v>675</v>
      </c>
      <c r="D47" s="54"/>
      <c r="E47" s="71">
        <v>0</v>
      </c>
    </row>
    <row r="48" spans="1:5" ht="18.5" x14ac:dyDescent="0.45">
      <c r="B48" s="9" t="s">
        <v>1072</v>
      </c>
      <c r="C48" t="s">
        <v>1073</v>
      </c>
      <c r="D48" s="85"/>
      <c r="E48" s="83">
        <v>0</v>
      </c>
    </row>
  </sheetData>
  <sortState ref="B4:E48">
    <sortCondition descending="1" ref="E4:E48"/>
  </sortState>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1F22-AA4E-4262-98C0-294D28F66CAB}">
  <dimension ref="A1:H91"/>
  <sheetViews>
    <sheetView workbookViewId="0">
      <selection activeCell="B2" sqref="B2"/>
    </sheetView>
  </sheetViews>
  <sheetFormatPr defaultRowHeight="14.5" x14ac:dyDescent="0.35"/>
  <cols>
    <col min="1" max="1" width="13.90625" customWidth="1"/>
    <col min="2" max="2" width="13.453125" customWidth="1"/>
    <col min="3" max="3" width="21.1796875" customWidth="1"/>
    <col min="4" max="4" width="13" customWidth="1"/>
    <col min="5" max="5" width="16.81640625" customWidth="1"/>
    <col min="6" max="6" width="15.08984375" customWidth="1"/>
    <col min="7" max="7" width="13.6328125" customWidth="1"/>
    <col min="8" max="8" width="13.08984375" customWidth="1"/>
  </cols>
  <sheetData>
    <row r="1" spans="1:8" ht="21" x14ac:dyDescent="0.5">
      <c r="A1" s="32" t="s">
        <v>964</v>
      </c>
    </row>
    <row r="2" spans="1:8" x14ac:dyDescent="0.35">
      <c r="B2" t="s">
        <v>1075</v>
      </c>
      <c r="C2" s="4" t="s">
        <v>965</v>
      </c>
      <c r="D2" s="4"/>
    </row>
    <row r="3" spans="1:8" ht="44.5" x14ac:dyDescent="0.45">
      <c r="A3" s="45" t="s">
        <v>966</v>
      </c>
      <c r="B3" s="9" t="s">
        <v>37</v>
      </c>
      <c r="C3" s="2" t="s">
        <v>38</v>
      </c>
      <c r="D3" s="12" t="s">
        <v>959</v>
      </c>
      <c r="E3" s="12" t="s">
        <v>960</v>
      </c>
      <c r="F3" s="12" t="s">
        <v>961</v>
      </c>
      <c r="G3" s="12" t="s">
        <v>962</v>
      </c>
      <c r="H3" s="12" t="s">
        <v>963</v>
      </c>
    </row>
    <row r="4" spans="1:8" ht="18.5" x14ac:dyDescent="0.45">
      <c r="A4" s="44">
        <f t="shared" ref="A4:A41" si="0">IF(F4="","",100*D4/F4)</f>
        <v>315.78947368421052</v>
      </c>
      <c r="B4" s="9" t="s">
        <v>26</v>
      </c>
      <c r="C4" t="s">
        <v>27</v>
      </c>
      <c r="D4" s="44">
        <v>1320</v>
      </c>
      <c r="E4" s="71">
        <v>146.34146341463415</v>
      </c>
      <c r="F4" s="44">
        <v>418</v>
      </c>
      <c r="G4" s="44"/>
      <c r="H4" s="44"/>
    </row>
    <row r="5" spans="1:8" ht="18.5" x14ac:dyDescent="0.45">
      <c r="A5" s="44">
        <f t="shared" si="0"/>
        <v>292.05607476635515</v>
      </c>
      <c r="B5" s="9" t="s">
        <v>201</v>
      </c>
      <c r="C5" t="s">
        <v>202</v>
      </c>
      <c r="D5" s="44">
        <v>1250</v>
      </c>
      <c r="E5" s="71">
        <v>142.04545454545453</v>
      </c>
      <c r="F5" s="44">
        <v>428</v>
      </c>
      <c r="G5" s="44"/>
      <c r="H5" s="44"/>
    </row>
    <row r="6" spans="1:8" ht="18.5" x14ac:dyDescent="0.45">
      <c r="A6" s="44">
        <f t="shared" si="0"/>
        <v>209.19540229885058</v>
      </c>
      <c r="B6" s="9" t="s">
        <v>17</v>
      </c>
      <c r="C6" t="s">
        <v>56</v>
      </c>
      <c r="D6" s="44">
        <v>1820</v>
      </c>
      <c r="E6" s="71">
        <v>137.04819277108433</v>
      </c>
      <c r="F6" s="44">
        <v>870</v>
      </c>
      <c r="G6" s="44"/>
      <c r="H6" s="44"/>
    </row>
    <row r="7" spans="1:8" ht="18.5" x14ac:dyDescent="0.45">
      <c r="A7" s="44">
        <f t="shared" si="0"/>
        <v>179.61165048543688</v>
      </c>
      <c r="B7" s="9" t="s">
        <v>35</v>
      </c>
      <c r="C7" t="s">
        <v>57</v>
      </c>
      <c r="D7" s="44">
        <v>1850</v>
      </c>
      <c r="E7" s="71">
        <v>136.73318551367333</v>
      </c>
      <c r="F7" s="44">
        <v>1030</v>
      </c>
      <c r="G7" s="44"/>
      <c r="H7" s="44"/>
    </row>
    <row r="8" spans="1:8" ht="18.5" x14ac:dyDescent="0.45">
      <c r="A8" s="44">
        <f t="shared" si="0"/>
        <v>205</v>
      </c>
      <c r="B8" s="9" t="s">
        <v>349</v>
      </c>
      <c r="C8" t="s">
        <v>346</v>
      </c>
      <c r="D8" s="44">
        <v>2050</v>
      </c>
      <c r="E8" s="71">
        <v>131.41025641025641</v>
      </c>
      <c r="F8" s="44">
        <v>1000</v>
      </c>
      <c r="G8" s="44"/>
      <c r="H8" s="44"/>
    </row>
    <row r="9" spans="1:8" ht="18.5" x14ac:dyDescent="0.45">
      <c r="A9" s="44">
        <f t="shared" si="0"/>
        <v>633.48416289592762</v>
      </c>
      <c r="B9" s="9" t="s">
        <v>306</v>
      </c>
      <c r="C9" t="s">
        <v>305</v>
      </c>
      <c r="D9" s="44">
        <v>1400</v>
      </c>
      <c r="E9" s="71">
        <v>131.33208255159474</v>
      </c>
      <c r="F9" s="44">
        <v>221</v>
      </c>
      <c r="G9" s="44"/>
      <c r="H9" s="44"/>
    </row>
    <row r="10" spans="1:8" ht="18.5" x14ac:dyDescent="0.45">
      <c r="A10" s="44">
        <f t="shared" si="0"/>
        <v>246.13402061855669</v>
      </c>
      <c r="B10" s="9" t="s">
        <v>560</v>
      </c>
      <c r="C10" t="s">
        <v>561</v>
      </c>
      <c r="D10" s="44">
        <v>1910</v>
      </c>
      <c r="E10" s="71">
        <v>131.18131868131869</v>
      </c>
      <c r="F10" s="44">
        <v>776</v>
      </c>
      <c r="G10" s="44"/>
      <c r="H10" s="44"/>
    </row>
    <row r="11" spans="1:8" ht="18.5" x14ac:dyDescent="0.45">
      <c r="A11" s="44">
        <f t="shared" si="0"/>
        <v>374.10071942446041</v>
      </c>
      <c r="B11" s="9" t="s">
        <v>152</v>
      </c>
      <c r="C11" t="s">
        <v>159</v>
      </c>
      <c r="D11" s="44">
        <v>1560</v>
      </c>
      <c r="E11" s="71">
        <v>130.8724832214765</v>
      </c>
      <c r="F11" s="44">
        <v>417</v>
      </c>
      <c r="G11" s="44"/>
      <c r="H11" s="44"/>
    </row>
    <row r="12" spans="1:8" ht="18.5" x14ac:dyDescent="0.45">
      <c r="A12" s="44">
        <f t="shared" si="0"/>
        <v>298.95615866388312</v>
      </c>
      <c r="B12" s="9" t="s">
        <v>528</v>
      </c>
      <c r="C12" t="s">
        <v>562</v>
      </c>
      <c r="D12" s="44">
        <v>1432</v>
      </c>
      <c r="E12" s="71">
        <v>123.34194659776055</v>
      </c>
      <c r="F12" s="44">
        <v>479</v>
      </c>
      <c r="G12" s="44"/>
      <c r="H12" s="44">
        <v>153</v>
      </c>
    </row>
    <row r="13" spans="1:8" ht="18.5" x14ac:dyDescent="0.45">
      <c r="A13" s="44">
        <f t="shared" si="0"/>
        <v>411.33333333333331</v>
      </c>
      <c r="B13" s="9" t="s">
        <v>7</v>
      </c>
      <c r="C13" t="s">
        <v>55</v>
      </c>
      <c r="D13" s="44">
        <v>1234</v>
      </c>
      <c r="E13" s="71">
        <v>122.17821782178218</v>
      </c>
      <c r="F13" s="44">
        <v>300</v>
      </c>
      <c r="G13" s="44"/>
      <c r="H13" s="44"/>
    </row>
    <row r="14" spans="1:8" ht="18.5" x14ac:dyDescent="0.45">
      <c r="A14" s="44">
        <f t="shared" si="0"/>
        <v>203.38983050847457</v>
      </c>
      <c r="B14" s="9" t="s">
        <v>230</v>
      </c>
      <c r="C14" t="s">
        <v>231</v>
      </c>
      <c r="D14" s="44">
        <v>1320</v>
      </c>
      <c r="E14" s="71">
        <v>119.56521739130436</v>
      </c>
      <c r="F14" s="44">
        <v>649</v>
      </c>
      <c r="G14" s="44"/>
      <c r="H14" s="44">
        <v>190</v>
      </c>
    </row>
    <row r="15" spans="1:8" ht="18.5" x14ac:dyDescent="0.45">
      <c r="A15" s="44">
        <f t="shared" si="0"/>
        <v>159.40724122153179</v>
      </c>
      <c r="B15" s="9" t="s">
        <v>331</v>
      </c>
      <c r="C15" t="s">
        <v>97</v>
      </c>
      <c r="D15" s="44">
        <v>1080</v>
      </c>
      <c r="E15" s="71">
        <v>110.76923076923077</v>
      </c>
      <c r="F15" s="44">
        <v>677.51</v>
      </c>
      <c r="G15" s="44"/>
      <c r="H15" s="44"/>
    </row>
    <row r="16" spans="1:8" ht="18.5" x14ac:dyDescent="0.45">
      <c r="A16" s="44">
        <f t="shared" si="0"/>
        <v>31.752764732616271</v>
      </c>
      <c r="B16" s="9" t="s">
        <v>1072</v>
      </c>
      <c r="C16" t="s">
        <v>1073</v>
      </c>
      <c r="D16" s="44">
        <v>209.6</v>
      </c>
      <c r="E16" s="71">
        <v>75.94202898550725</v>
      </c>
      <c r="F16" s="44">
        <v>660.1</v>
      </c>
      <c r="G16" s="44"/>
      <c r="H16" s="44"/>
    </row>
    <row r="17" spans="1:8" ht="18.5" x14ac:dyDescent="0.45">
      <c r="A17" s="44" t="str">
        <f t="shared" si="0"/>
        <v/>
      </c>
      <c r="B17" s="9" t="s">
        <v>53</v>
      </c>
      <c r="C17" t="s">
        <v>54</v>
      </c>
      <c r="D17" s="44"/>
      <c r="E17" s="71">
        <v>0</v>
      </c>
      <c r="F17" s="44"/>
      <c r="G17" s="44"/>
      <c r="H17" s="44"/>
    </row>
    <row r="18" spans="1:8" ht="18.5" x14ac:dyDescent="0.45">
      <c r="A18" s="44" t="str">
        <f t="shared" si="0"/>
        <v/>
      </c>
      <c r="B18" s="9" t="s">
        <v>70</v>
      </c>
      <c r="C18" t="s">
        <v>71</v>
      </c>
      <c r="D18" s="44"/>
      <c r="E18" s="71">
        <v>0</v>
      </c>
      <c r="F18" s="44"/>
      <c r="G18" s="44"/>
      <c r="H18" s="44"/>
    </row>
    <row r="19" spans="1:8" ht="18.5" x14ac:dyDescent="0.45">
      <c r="A19" s="44" t="str">
        <f t="shared" si="0"/>
        <v/>
      </c>
      <c r="B19" s="9" t="s">
        <v>329</v>
      </c>
      <c r="C19" t="s">
        <v>85</v>
      </c>
      <c r="D19" s="44"/>
      <c r="E19" s="71">
        <v>0</v>
      </c>
      <c r="F19" s="44"/>
      <c r="G19" s="44"/>
      <c r="H19" s="44"/>
    </row>
    <row r="20" spans="1:8" ht="18.5" x14ac:dyDescent="0.45">
      <c r="A20" s="44" t="str">
        <f t="shared" si="0"/>
        <v/>
      </c>
      <c r="B20" s="9" t="s">
        <v>108</v>
      </c>
      <c r="C20" t="s">
        <v>109</v>
      </c>
      <c r="D20" s="44"/>
      <c r="E20" s="71">
        <v>0</v>
      </c>
      <c r="F20" s="44"/>
      <c r="G20" s="44"/>
      <c r="H20" s="44"/>
    </row>
    <row r="21" spans="1:8" ht="18.5" x14ac:dyDescent="0.45">
      <c r="A21" s="44" t="str">
        <f t="shared" si="0"/>
        <v/>
      </c>
      <c r="B21" s="9" t="s">
        <v>117</v>
      </c>
      <c r="C21" t="s">
        <v>118</v>
      </c>
      <c r="D21" s="44"/>
      <c r="E21" s="71">
        <v>0</v>
      </c>
      <c r="F21" s="44"/>
      <c r="G21" s="44"/>
      <c r="H21" s="44"/>
    </row>
    <row r="22" spans="1:8" ht="18.5" x14ac:dyDescent="0.45">
      <c r="A22" s="44" t="str">
        <f t="shared" si="0"/>
        <v/>
      </c>
      <c r="B22" s="9" t="s">
        <v>136</v>
      </c>
      <c r="C22" t="s">
        <v>137</v>
      </c>
      <c r="D22" s="44"/>
      <c r="E22" s="71">
        <v>0</v>
      </c>
      <c r="F22" s="44"/>
      <c r="G22" s="44"/>
      <c r="H22" s="44"/>
    </row>
    <row r="23" spans="1:8" ht="18.5" x14ac:dyDescent="0.45">
      <c r="A23" s="44" t="str">
        <f t="shared" si="0"/>
        <v/>
      </c>
      <c r="B23" s="9" t="s">
        <v>142</v>
      </c>
      <c r="C23" t="s">
        <v>143</v>
      </c>
      <c r="D23" s="44"/>
      <c r="E23" s="71">
        <v>0</v>
      </c>
      <c r="F23" s="44"/>
      <c r="G23" s="44"/>
      <c r="H23" s="44"/>
    </row>
    <row r="24" spans="1:8" ht="18.5" x14ac:dyDescent="0.45">
      <c r="A24" s="44" t="str">
        <f t="shared" si="0"/>
        <v/>
      </c>
      <c r="B24" s="9" t="s">
        <v>123</v>
      </c>
      <c r="C24" t="s">
        <v>151</v>
      </c>
      <c r="D24" s="44"/>
      <c r="E24" s="71">
        <v>0</v>
      </c>
      <c r="F24" s="44"/>
      <c r="G24" s="44"/>
      <c r="H24" s="44"/>
    </row>
    <row r="25" spans="1:8" ht="18.5" x14ac:dyDescent="0.45">
      <c r="A25" s="44" t="str">
        <f t="shared" si="0"/>
        <v/>
      </c>
      <c r="B25" s="9" t="s">
        <v>169</v>
      </c>
      <c r="C25" t="s">
        <v>170</v>
      </c>
      <c r="D25" s="44"/>
      <c r="E25" s="71">
        <v>0</v>
      </c>
      <c r="F25" s="44"/>
      <c r="G25" s="44"/>
      <c r="H25" s="44"/>
    </row>
    <row r="26" spans="1:8" ht="18.5" x14ac:dyDescent="0.45">
      <c r="A26" s="44" t="str">
        <f t="shared" si="0"/>
        <v/>
      </c>
      <c r="B26" s="9" t="s">
        <v>172</v>
      </c>
      <c r="C26" t="s">
        <v>173</v>
      </c>
      <c r="D26" s="44"/>
      <c r="E26" s="71">
        <v>0</v>
      </c>
      <c r="F26" s="44"/>
      <c r="G26" s="44"/>
      <c r="H26" s="44"/>
    </row>
    <row r="27" spans="1:8" ht="18.5" x14ac:dyDescent="0.45">
      <c r="A27" s="44" t="str">
        <f t="shared" si="0"/>
        <v/>
      </c>
      <c r="B27" s="9" t="s">
        <v>182</v>
      </c>
      <c r="C27" t="s">
        <v>183</v>
      </c>
      <c r="D27" s="44"/>
      <c r="E27" s="71">
        <v>0</v>
      </c>
      <c r="F27" s="44"/>
      <c r="G27" s="44"/>
      <c r="H27" s="44"/>
    </row>
    <row r="28" spans="1:8" ht="18.5" x14ac:dyDescent="0.45">
      <c r="A28" s="44" t="str">
        <f t="shared" si="0"/>
        <v/>
      </c>
      <c r="B28" s="9" t="s">
        <v>204</v>
      </c>
      <c r="C28" t="s">
        <v>210</v>
      </c>
      <c r="D28" s="44"/>
      <c r="E28" s="71">
        <v>0</v>
      </c>
      <c r="F28" s="44"/>
      <c r="G28" s="44"/>
      <c r="H28" s="44"/>
    </row>
    <row r="29" spans="1:8" ht="18.5" x14ac:dyDescent="0.45">
      <c r="A29" s="44" t="str">
        <f t="shared" si="0"/>
        <v/>
      </c>
      <c r="B29" s="9" t="s">
        <v>220</v>
      </c>
      <c r="C29" t="s">
        <v>221</v>
      </c>
      <c r="D29" s="44"/>
      <c r="E29" s="71">
        <v>0</v>
      </c>
      <c r="F29" s="44"/>
      <c r="G29" s="44"/>
      <c r="H29" s="44"/>
    </row>
    <row r="30" spans="1:8" ht="18.5" x14ac:dyDescent="0.45">
      <c r="A30" s="44" t="str">
        <f t="shared" si="0"/>
        <v/>
      </c>
      <c r="B30" s="9" t="s">
        <v>240</v>
      </c>
      <c r="C30" t="s">
        <v>143</v>
      </c>
      <c r="D30" s="44"/>
      <c r="E30" s="71">
        <v>0</v>
      </c>
      <c r="F30" s="44"/>
      <c r="G30" s="44"/>
      <c r="H30" s="44"/>
    </row>
    <row r="31" spans="1:8" ht="18.5" x14ac:dyDescent="0.45">
      <c r="A31" s="44" t="str">
        <f t="shared" si="0"/>
        <v/>
      </c>
      <c r="B31" s="9" t="s">
        <v>248</v>
      </c>
      <c r="C31" t="s">
        <v>249</v>
      </c>
      <c r="D31" s="44"/>
      <c r="E31" s="71">
        <v>0</v>
      </c>
      <c r="F31" s="44"/>
      <c r="G31" s="44"/>
      <c r="H31" s="44"/>
    </row>
    <row r="32" spans="1:8" ht="18.5" x14ac:dyDescent="0.45">
      <c r="A32" s="44" t="str">
        <f t="shared" si="0"/>
        <v/>
      </c>
      <c r="B32" s="9" t="s">
        <v>261</v>
      </c>
      <c r="C32" t="s">
        <v>262</v>
      </c>
      <c r="D32" s="44"/>
      <c r="E32" s="71">
        <v>0</v>
      </c>
      <c r="F32" s="44"/>
      <c r="G32" s="44"/>
      <c r="H32" s="44"/>
    </row>
    <row r="33" spans="1:8" ht="18.5" x14ac:dyDescent="0.45">
      <c r="A33" s="44" t="str">
        <f t="shared" si="0"/>
        <v/>
      </c>
      <c r="B33" s="9" t="s">
        <v>285</v>
      </c>
      <c r="C33" t="s">
        <v>286</v>
      </c>
      <c r="D33" s="44"/>
      <c r="E33" s="71">
        <v>0</v>
      </c>
      <c r="F33" s="44"/>
      <c r="G33" s="44"/>
      <c r="H33" s="44"/>
    </row>
    <row r="34" spans="1:8" ht="18.5" x14ac:dyDescent="0.45">
      <c r="A34" s="44" t="str">
        <f t="shared" si="0"/>
        <v/>
      </c>
      <c r="B34" s="9" t="s">
        <v>288</v>
      </c>
      <c r="C34" t="s">
        <v>289</v>
      </c>
      <c r="D34" s="44"/>
      <c r="E34" s="71">
        <v>0</v>
      </c>
      <c r="F34" s="44"/>
      <c r="G34" s="44"/>
      <c r="H34" s="44"/>
    </row>
    <row r="35" spans="1:8" ht="18.5" x14ac:dyDescent="0.45">
      <c r="A35" s="44" t="str">
        <f t="shared" si="0"/>
        <v/>
      </c>
      <c r="B35" s="9" t="s">
        <v>312</v>
      </c>
      <c r="C35" t="s">
        <v>313</v>
      </c>
      <c r="D35" s="44"/>
      <c r="E35" s="71">
        <v>0</v>
      </c>
      <c r="F35" s="44"/>
      <c r="G35" s="44"/>
      <c r="H35" s="44"/>
    </row>
    <row r="36" spans="1:8" ht="18.5" x14ac:dyDescent="0.45">
      <c r="A36" s="44" t="str">
        <f t="shared" si="0"/>
        <v/>
      </c>
      <c r="B36" s="9" t="s">
        <v>304</v>
      </c>
      <c r="C36" t="s">
        <v>289</v>
      </c>
      <c r="D36" s="44"/>
      <c r="E36" s="71">
        <v>0</v>
      </c>
      <c r="F36" s="44"/>
      <c r="G36" s="44"/>
      <c r="H36" s="44"/>
    </row>
    <row r="37" spans="1:8" ht="18.5" x14ac:dyDescent="0.45">
      <c r="A37" s="44" t="str">
        <f t="shared" si="0"/>
        <v/>
      </c>
      <c r="B37" s="9" t="s">
        <v>308</v>
      </c>
      <c r="C37" t="s">
        <v>309</v>
      </c>
      <c r="D37" s="44"/>
      <c r="E37" s="71">
        <v>0</v>
      </c>
      <c r="F37" s="44"/>
      <c r="G37" s="44"/>
      <c r="H37" s="44"/>
    </row>
    <row r="38" spans="1:8" ht="18.5" x14ac:dyDescent="0.45">
      <c r="A38" s="44" t="str">
        <f t="shared" si="0"/>
        <v/>
      </c>
      <c r="B38" s="9" t="s">
        <v>375</v>
      </c>
      <c r="C38" t="s">
        <v>429</v>
      </c>
      <c r="D38" s="44"/>
      <c r="E38" s="71">
        <v>0</v>
      </c>
      <c r="F38" s="44"/>
      <c r="G38" s="44"/>
      <c r="H38" s="44"/>
    </row>
    <row r="39" spans="1:8" ht="18.5" x14ac:dyDescent="0.45">
      <c r="A39" s="44" t="str">
        <f t="shared" si="0"/>
        <v/>
      </c>
      <c r="B39" s="9" t="s">
        <v>582</v>
      </c>
      <c r="C39" t="s">
        <v>610</v>
      </c>
      <c r="D39" s="44"/>
      <c r="E39" s="71">
        <v>0</v>
      </c>
      <c r="F39" s="44"/>
      <c r="G39" s="44"/>
      <c r="H39" s="44"/>
    </row>
    <row r="40" spans="1:8" ht="18.5" x14ac:dyDescent="0.45">
      <c r="A40" s="44" t="str">
        <f t="shared" si="0"/>
        <v/>
      </c>
      <c r="B40" s="9" t="s">
        <v>641</v>
      </c>
      <c r="C40" t="s">
        <v>642</v>
      </c>
      <c r="D40" s="44"/>
      <c r="E40" s="71">
        <v>0</v>
      </c>
      <c r="F40" s="44"/>
      <c r="G40" s="44"/>
      <c r="H40" s="44"/>
    </row>
    <row r="41" spans="1:8" ht="18.5" x14ac:dyDescent="0.45">
      <c r="A41" s="44" t="str">
        <f t="shared" si="0"/>
        <v/>
      </c>
      <c r="B41" s="9" t="s">
        <v>659</v>
      </c>
      <c r="C41" t="s">
        <v>661</v>
      </c>
      <c r="D41" s="44"/>
      <c r="E41" s="71">
        <v>0</v>
      </c>
      <c r="F41" s="44"/>
      <c r="G41" s="44"/>
      <c r="H41" s="44"/>
    </row>
    <row r="42" spans="1:8" ht="18.5" x14ac:dyDescent="0.45">
      <c r="A42" s="44" t="s">
        <v>755</v>
      </c>
      <c r="B42" s="9" t="s">
        <v>674</v>
      </c>
      <c r="C42" t="s">
        <v>675</v>
      </c>
      <c r="D42" s="44"/>
      <c r="E42" s="71">
        <v>0</v>
      </c>
      <c r="F42" s="44"/>
      <c r="G42" s="44"/>
      <c r="H42" s="44"/>
    </row>
    <row r="43" spans="1:8" x14ac:dyDescent="0.35">
      <c r="A43" s="44" t="s">
        <v>755</v>
      </c>
      <c r="B43" t="s">
        <v>1031</v>
      </c>
      <c r="C43" t="s">
        <v>1032</v>
      </c>
      <c r="D43" s="44"/>
      <c r="E43" s="44">
        <v>0</v>
      </c>
      <c r="F43" s="44"/>
      <c r="G43" s="44"/>
      <c r="H43" s="44"/>
    </row>
    <row r="44" spans="1:8" x14ac:dyDescent="0.35">
      <c r="A44" s="44" t="s">
        <v>755</v>
      </c>
      <c r="D44" s="44"/>
      <c r="E44" s="44"/>
      <c r="F44" s="44"/>
      <c r="G44" s="44"/>
      <c r="H44" s="44"/>
    </row>
    <row r="45" spans="1:8" x14ac:dyDescent="0.35">
      <c r="A45" s="44" t="s">
        <v>755</v>
      </c>
      <c r="D45" s="44"/>
      <c r="E45" s="44"/>
      <c r="F45" s="44"/>
      <c r="G45" s="44"/>
      <c r="H45" s="44"/>
    </row>
    <row r="46" spans="1:8" x14ac:dyDescent="0.35">
      <c r="A46" s="44" t="s">
        <v>755</v>
      </c>
      <c r="D46" s="44"/>
      <c r="E46" s="44"/>
      <c r="F46" s="44"/>
      <c r="G46" s="44"/>
      <c r="H46" s="44"/>
    </row>
    <row r="47" spans="1:8" x14ac:dyDescent="0.35">
      <c r="A47" s="44" t="s">
        <v>755</v>
      </c>
      <c r="D47" s="44"/>
      <c r="E47" s="44"/>
      <c r="F47" s="44"/>
      <c r="G47" s="44"/>
      <c r="H47" s="44"/>
    </row>
    <row r="48" spans="1:8" x14ac:dyDescent="0.35">
      <c r="A48" s="44" t="s">
        <v>755</v>
      </c>
      <c r="D48" s="44"/>
      <c r="E48" s="44"/>
      <c r="F48" s="44"/>
      <c r="G48" s="44"/>
      <c r="H48" s="44"/>
    </row>
    <row r="49" spans="1:8" x14ac:dyDescent="0.35">
      <c r="A49" s="44" t="s">
        <v>755</v>
      </c>
      <c r="D49" s="44"/>
      <c r="E49" s="44"/>
      <c r="F49" s="44"/>
      <c r="G49" s="44"/>
      <c r="H49" s="44"/>
    </row>
    <row r="50" spans="1:8" x14ac:dyDescent="0.35">
      <c r="A50" s="44" t="s">
        <v>755</v>
      </c>
      <c r="D50" s="44"/>
      <c r="E50" s="44"/>
      <c r="F50" s="44"/>
      <c r="G50" s="44"/>
      <c r="H50" s="44"/>
    </row>
    <row r="51" spans="1:8" x14ac:dyDescent="0.35">
      <c r="A51" s="44" t="s">
        <v>755</v>
      </c>
      <c r="D51" s="44"/>
      <c r="E51" s="44"/>
      <c r="F51" s="44"/>
      <c r="G51" s="44"/>
      <c r="H51" s="44"/>
    </row>
    <row r="52" spans="1:8" x14ac:dyDescent="0.35">
      <c r="A52" s="44" t="s">
        <v>755</v>
      </c>
      <c r="D52" s="44"/>
      <c r="E52" s="44"/>
      <c r="F52" s="44"/>
      <c r="G52" s="44"/>
      <c r="H52" s="44"/>
    </row>
    <row r="53" spans="1:8" x14ac:dyDescent="0.35">
      <c r="A53" s="44" t="s">
        <v>755</v>
      </c>
      <c r="D53" s="44"/>
      <c r="E53" s="44"/>
      <c r="F53" s="44"/>
      <c r="G53" s="44"/>
      <c r="H53" s="44"/>
    </row>
    <row r="54" spans="1:8" x14ac:dyDescent="0.35">
      <c r="A54" s="44" t="s">
        <v>755</v>
      </c>
      <c r="D54" s="44"/>
      <c r="E54" s="44"/>
      <c r="F54" s="44"/>
      <c r="G54" s="44"/>
      <c r="H54" s="44"/>
    </row>
    <row r="55" spans="1:8" x14ac:dyDescent="0.35">
      <c r="A55" s="44" t="s">
        <v>755</v>
      </c>
      <c r="D55" s="44"/>
      <c r="E55" s="44"/>
      <c r="F55" s="44"/>
      <c r="G55" s="44"/>
      <c r="H55" s="44"/>
    </row>
    <row r="56" spans="1:8" x14ac:dyDescent="0.35">
      <c r="A56" s="44" t="s">
        <v>755</v>
      </c>
      <c r="D56" s="44"/>
      <c r="E56" s="44"/>
      <c r="F56" s="44"/>
      <c r="G56" s="44"/>
      <c r="H56" s="44"/>
    </row>
    <row r="57" spans="1:8" x14ac:dyDescent="0.35">
      <c r="A57" s="44" t="s">
        <v>755</v>
      </c>
      <c r="D57" s="44"/>
      <c r="E57" s="44"/>
      <c r="F57" s="44"/>
      <c r="G57" s="44"/>
      <c r="H57" s="44"/>
    </row>
    <row r="58" spans="1:8" x14ac:dyDescent="0.35">
      <c r="A58" s="44" t="s">
        <v>755</v>
      </c>
      <c r="D58" s="44"/>
      <c r="E58" s="44"/>
      <c r="F58" s="44"/>
      <c r="G58" s="44"/>
      <c r="H58" s="44"/>
    </row>
    <row r="59" spans="1:8" x14ac:dyDescent="0.35">
      <c r="A59" s="44" t="s">
        <v>755</v>
      </c>
      <c r="D59" s="44"/>
      <c r="E59" s="44"/>
      <c r="F59" s="44"/>
      <c r="G59" s="44"/>
      <c r="H59" s="44"/>
    </row>
    <row r="60" spans="1:8" x14ac:dyDescent="0.35">
      <c r="A60" s="44" t="s">
        <v>755</v>
      </c>
      <c r="D60" s="44"/>
      <c r="E60" s="44"/>
      <c r="F60" s="44"/>
      <c r="G60" s="44"/>
      <c r="H60" s="44"/>
    </row>
    <row r="61" spans="1:8" x14ac:dyDescent="0.35">
      <c r="A61" s="44" t="s">
        <v>755</v>
      </c>
      <c r="D61" s="44"/>
      <c r="E61" s="44"/>
      <c r="F61" s="44"/>
      <c r="G61" s="44"/>
      <c r="H61" s="44"/>
    </row>
    <row r="62" spans="1:8" x14ac:dyDescent="0.35">
      <c r="A62" s="44" t="s">
        <v>755</v>
      </c>
      <c r="D62" s="44"/>
      <c r="E62" s="44"/>
      <c r="F62" s="44"/>
      <c r="G62" s="44"/>
      <c r="H62" s="44"/>
    </row>
    <row r="63" spans="1:8" x14ac:dyDescent="0.35">
      <c r="A63" s="44" t="s">
        <v>755</v>
      </c>
      <c r="D63" s="44"/>
      <c r="E63" s="44"/>
      <c r="F63" s="44"/>
      <c r="G63" s="44"/>
      <c r="H63" s="44"/>
    </row>
    <row r="64" spans="1:8" x14ac:dyDescent="0.35">
      <c r="A64" s="44" t="s">
        <v>755</v>
      </c>
      <c r="D64" s="44"/>
      <c r="E64" s="44"/>
      <c r="F64" s="44"/>
      <c r="G64" s="44"/>
      <c r="H64" s="44"/>
    </row>
    <row r="65" spans="1:8" x14ac:dyDescent="0.35">
      <c r="A65" s="44" t="s">
        <v>755</v>
      </c>
      <c r="D65" s="44"/>
      <c r="E65" s="44"/>
      <c r="F65" s="44"/>
      <c r="G65" s="44"/>
      <c r="H65" s="44"/>
    </row>
    <row r="66" spans="1:8" x14ac:dyDescent="0.35">
      <c r="A66" s="44" t="s">
        <v>755</v>
      </c>
      <c r="D66" s="44"/>
      <c r="E66" s="44"/>
      <c r="F66" s="44"/>
      <c r="G66" s="44"/>
      <c r="H66" s="44"/>
    </row>
    <row r="67" spans="1:8" x14ac:dyDescent="0.35">
      <c r="A67" s="44" t="s">
        <v>755</v>
      </c>
      <c r="D67" s="44"/>
      <c r="E67" s="44"/>
      <c r="F67" s="44"/>
      <c r="G67" s="44"/>
      <c r="H67" s="44"/>
    </row>
    <row r="68" spans="1:8" x14ac:dyDescent="0.35">
      <c r="A68" s="44" t="s">
        <v>755</v>
      </c>
      <c r="D68" s="44"/>
      <c r="E68" s="44"/>
      <c r="F68" s="44"/>
      <c r="G68" s="44"/>
      <c r="H68" s="44"/>
    </row>
    <row r="69" spans="1:8" x14ac:dyDescent="0.35">
      <c r="A69" s="44" t="s">
        <v>755</v>
      </c>
      <c r="D69" s="44"/>
      <c r="E69" s="44"/>
      <c r="F69" s="44"/>
      <c r="G69" s="44"/>
      <c r="H69" s="44"/>
    </row>
    <row r="70" spans="1:8" x14ac:dyDescent="0.35">
      <c r="A70" s="44" t="s">
        <v>755</v>
      </c>
      <c r="D70" s="44"/>
      <c r="E70" s="44"/>
      <c r="F70" s="44"/>
      <c r="G70" s="44"/>
      <c r="H70" s="44"/>
    </row>
    <row r="71" spans="1:8" x14ac:dyDescent="0.35">
      <c r="A71" s="44" t="s">
        <v>755</v>
      </c>
      <c r="D71" s="44"/>
      <c r="E71" s="44"/>
      <c r="F71" s="44"/>
      <c r="G71" s="44"/>
      <c r="H71" s="44"/>
    </row>
    <row r="72" spans="1:8" x14ac:dyDescent="0.35">
      <c r="A72" s="44" t="s">
        <v>755</v>
      </c>
      <c r="D72" s="44"/>
      <c r="E72" s="44"/>
      <c r="F72" s="44"/>
      <c r="G72" s="44"/>
      <c r="H72" s="44"/>
    </row>
    <row r="73" spans="1:8" x14ac:dyDescent="0.35">
      <c r="A73" s="44" t="s">
        <v>755</v>
      </c>
      <c r="D73" s="44"/>
      <c r="E73" s="44"/>
      <c r="F73" s="44"/>
      <c r="G73" s="44"/>
      <c r="H73" s="44"/>
    </row>
    <row r="74" spans="1:8" x14ac:dyDescent="0.35">
      <c r="A74" s="44" t="s">
        <v>755</v>
      </c>
      <c r="D74" s="44"/>
      <c r="E74" s="44"/>
      <c r="F74" s="44"/>
      <c r="G74" s="44"/>
      <c r="H74" s="44"/>
    </row>
    <row r="75" spans="1:8" x14ac:dyDescent="0.35">
      <c r="A75" s="44" t="s">
        <v>755</v>
      </c>
      <c r="D75" s="44"/>
      <c r="E75" s="44"/>
      <c r="F75" s="44"/>
      <c r="G75" s="44"/>
      <c r="H75" s="44"/>
    </row>
    <row r="76" spans="1:8" x14ac:dyDescent="0.35">
      <c r="A76" s="44" t="s">
        <v>755</v>
      </c>
      <c r="D76" s="44"/>
      <c r="E76" s="44"/>
      <c r="F76" s="44"/>
      <c r="G76" s="44"/>
      <c r="H76" s="44"/>
    </row>
    <row r="77" spans="1:8" x14ac:dyDescent="0.35">
      <c r="A77" s="44" t="s">
        <v>755</v>
      </c>
      <c r="D77" s="44"/>
      <c r="E77" s="44"/>
      <c r="F77" s="44"/>
      <c r="G77" s="44"/>
      <c r="H77" s="44"/>
    </row>
    <row r="78" spans="1:8" x14ac:dyDescent="0.35">
      <c r="A78" s="44" t="s">
        <v>755</v>
      </c>
      <c r="D78" s="44"/>
      <c r="E78" s="44"/>
      <c r="F78" s="44"/>
      <c r="G78" s="44"/>
      <c r="H78" s="44"/>
    </row>
    <row r="79" spans="1:8" x14ac:dyDescent="0.35">
      <c r="A79" s="44" t="s">
        <v>755</v>
      </c>
      <c r="D79" s="44"/>
      <c r="E79" s="44"/>
      <c r="F79" s="44"/>
      <c r="G79" s="44"/>
      <c r="H79" s="44"/>
    </row>
    <row r="80" spans="1:8" x14ac:dyDescent="0.35">
      <c r="A80" s="44" t="s">
        <v>755</v>
      </c>
      <c r="D80" s="44"/>
      <c r="E80" s="44"/>
      <c r="F80" s="44"/>
      <c r="G80" s="44"/>
      <c r="H80" s="44"/>
    </row>
    <row r="81" spans="1:8" x14ac:dyDescent="0.35">
      <c r="A81" s="44" t="s">
        <v>755</v>
      </c>
      <c r="D81" s="44"/>
      <c r="E81" s="44"/>
      <c r="F81" s="44"/>
      <c r="G81" s="44"/>
      <c r="H81" s="44"/>
    </row>
    <row r="82" spans="1:8" x14ac:dyDescent="0.35">
      <c r="A82" s="44" t="s">
        <v>755</v>
      </c>
      <c r="D82" s="44"/>
      <c r="E82" s="44"/>
      <c r="F82" s="44"/>
      <c r="G82" s="44"/>
      <c r="H82" s="44"/>
    </row>
    <row r="83" spans="1:8" x14ac:dyDescent="0.35">
      <c r="A83" s="44" t="s">
        <v>755</v>
      </c>
      <c r="D83" s="44"/>
      <c r="E83" s="44"/>
      <c r="F83" s="44"/>
      <c r="G83" s="44"/>
      <c r="H83" s="44"/>
    </row>
    <row r="84" spans="1:8" x14ac:dyDescent="0.35">
      <c r="A84" s="44" t="s">
        <v>755</v>
      </c>
      <c r="D84" s="44"/>
      <c r="E84" s="44"/>
      <c r="F84" s="44"/>
      <c r="G84" s="44"/>
      <c r="H84" s="44"/>
    </row>
    <row r="85" spans="1:8" x14ac:dyDescent="0.35">
      <c r="A85" s="44" t="s">
        <v>755</v>
      </c>
      <c r="D85" s="44"/>
      <c r="E85" s="44"/>
      <c r="F85" s="44"/>
      <c r="G85" s="44"/>
      <c r="H85" s="44"/>
    </row>
    <row r="86" spans="1:8" x14ac:dyDescent="0.35">
      <c r="A86" s="44" t="s">
        <v>755</v>
      </c>
      <c r="D86" s="44"/>
      <c r="E86" s="44"/>
      <c r="F86" s="44"/>
      <c r="G86" s="44"/>
      <c r="H86" s="44"/>
    </row>
    <row r="87" spans="1:8" x14ac:dyDescent="0.35">
      <c r="A87" s="44" t="s">
        <v>755</v>
      </c>
      <c r="D87" s="44"/>
      <c r="E87" s="44"/>
      <c r="F87" s="44"/>
      <c r="G87" s="44"/>
      <c r="H87" s="44"/>
    </row>
    <row r="88" spans="1:8" x14ac:dyDescent="0.35">
      <c r="A88" s="44" t="s">
        <v>755</v>
      </c>
      <c r="D88" s="70"/>
      <c r="E88" s="70"/>
      <c r="F88" s="70"/>
      <c r="G88" s="70"/>
      <c r="H88" s="70"/>
    </row>
    <row r="89" spans="1:8" x14ac:dyDescent="0.35">
      <c r="A89" s="44" t="s">
        <v>755</v>
      </c>
      <c r="D89" s="70"/>
      <c r="E89" s="70"/>
      <c r="F89" s="70"/>
      <c r="G89" s="70"/>
      <c r="H89" s="70"/>
    </row>
    <row r="90" spans="1:8" x14ac:dyDescent="0.35">
      <c r="A90" s="44" t="s">
        <v>755</v>
      </c>
      <c r="D90" s="70"/>
      <c r="E90" s="70"/>
      <c r="F90" s="70"/>
      <c r="G90" s="70"/>
      <c r="H90" s="70"/>
    </row>
    <row r="91" spans="1:8" x14ac:dyDescent="0.35">
      <c r="A91" s="44" t="s">
        <v>755</v>
      </c>
      <c r="D91" s="70"/>
      <c r="E91" s="70"/>
      <c r="F91" s="70"/>
      <c r="G91" s="70"/>
      <c r="H91" s="70"/>
    </row>
  </sheetData>
  <sortState ref="B4:H43">
    <sortCondition descending="1" ref="E4:E4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449B-9EA5-498A-B60F-E06FE5DEB903}">
  <dimension ref="A1:H95"/>
  <sheetViews>
    <sheetView workbookViewId="0">
      <selection activeCell="B2" sqref="B2"/>
    </sheetView>
  </sheetViews>
  <sheetFormatPr defaultRowHeight="14.5" x14ac:dyDescent="0.35"/>
  <cols>
    <col min="1" max="1" width="13.90625" customWidth="1"/>
    <col min="2" max="2" width="13.453125" customWidth="1"/>
    <col min="3" max="3" width="21.1796875" customWidth="1"/>
    <col min="4" max="4" width="13" customWidth="1"/>
    <col min="5" max="5" width="16.81640625" customWidth="1"/>
    <col min="6" max="6" width="15.08984375" customWidth="1"/>
    <col min="7" max="7" width="13.6328125" customWidth="1"/>
    <col min="8" max="8" width="13.08984375" customWidth="1"/>
  </cols>
  <sheetData>
    <row r="1" spans="1:8" ht="21" x14ac:dyDescent="0.5">
      <c r="A1" s="32" t="s">
        <v>956</v>
      </c>
    </row>
    <row r="2" spans="1:8" x14ac:dyDescent="0.35">
      <c r="B2" t="s">
        <v>1075</v>
      </c>
      <c r="C2" s="4" t="s">
        <v>957</v>
      </c>
      <c r="D2" s="4"/>
    </row>
    <row r="3" spans="1:8" ht="44.5" x14ac:dyDescent="0.45">
      <c r="A3" s="45" t="s">
        <v>958</v>
      </c>
      <c r="B3" s="9" t="s">
        <v>37</v>
      </c>
      <c r="C3" s="2" t="s">
        <v>38</v>
      </c>
      <c r="D3" s="12" t="s">
        <v>951</v>
      </c>
      <c r="E3" s="12" t="s">
        <v>952</v>
      </c>
      <c r="F3" s="12" t="s">
        <v>953</v>
      </c>
      <c r="G3" s="12" t="s">
        <v>954</v>
      </c>
      <c r="H3" s="12" t="s">
        <v>955</v>
      </c>
    </row>
    <row r="4" spans="1:8" ht="18.5" x14ac:dyDescent="0.45">
      <c r="A4" s="44">
        <f t="shared" ref="A4:A41" si="0">IF(F4="","",100*D4/F4)</f>
        <v>297.72727272727275</v>
      </c>
      <c r="B4" s="9" t="s">
        <v>201</v>
      </c>
      <c r="C4" t="s">
        <v>202</v>
      </c>
      <c r="D4" s="44">
        <v>1310</v>
      </c>
      <c r="E4" s="71">
        <v>148.86363636363635</v>
      </c>
      <c r="F4" s="44">
        <v>440</v>
      </c>
      <c r="G4" s="44"/>
      <c r="H4" s="44"/>
    </row>
    <row r="5" spans="1:8" ht="18.5" x14ac:dyDescent="0.45">
      <c r="A5" s="44">
        <f t="shared" si="0"/>
        <v>216.61237785016286</v>
      </c>
      <c r="B5" s="9" t="s">
        <v>26</v>
      </c>
      <c r="C5" t="s">
        <v>27</v>
      </c>
      <c r="D5" s="44">
        <v>1330</v>
      </c>
      <c r="E5" s="71">
        <v>147.45011086474503</v>
      </c>
      <c r="F5" s="44">
        <v>614</v>
      </c>
      <c r="G5" s="44"/>
      <c r="H5" s="44"/>
    </row>
    <row r="6" spans="1:8" ht="18.5" x14ac:dyDescent="0.45">
      <c r="A6" s="44">
        <f t="shared" si="0"/>
        <v>237.20349563046193</v>
      </c>
      <c r="B6" s="9" t="s">
        <v>17</v>
      </c>
      <c r="C6" t="s">
        <v>56</v>
      </c>
      <c r="D6" s="44">
        <v>1900</v>
      </c>
      <c r="E6" s="71">
        <v>143.07228915662651</v>
      </c>
      <c r="F6" s="44">
        <v>801</v>
      </c>
      <c r="G6" s="44"/>
      <c r="H6" s="44"/>
    </row>
    <row r="7" spans="1:8" ht="18.5" x14ac:dyDescent="0.45">
      <c r="A7" s="44">
        <f t="shared" si="0"/>
        <v>195.91836734693877</v>
      </c>
      <c r="B7" s="9" t="s">
        <v>35</v>
      </c>
      <c r="C7" t="s">
        <v>57</v>
      </c>
      <c r="D7" s="44">
        <v>1920</v>
      </c>
      <c r="E7" s="71">
        <v>141.90687361419069</v>
      </c>
      <c r="F7" s="44">
        <v>980</v>
      </c>
      <c r="G7" s="44"/>
      <c r="H7" s="44"/>
    </row>
    <row r="8" spans="1:8" ht="18.5" x14ac:dyDescent="0.45">
      <c r="A8" s="44">
        <f t="shared" si="0"/>
        <v>244.74474474474474</v>
      </c>
      <c r="B8" s="9" t="s">
        <v>152</v>
      </c>
      <c r="C8" t="s">
        <v>159</v>
      </c>
      <c r="D8" s="44">
        <v>1630</v>
      </c>
      <c r="E8" s="71">
        <v>136.74496644295303</v>
      </c>
      <c r="F8" s="44">
        <v>666</v>
      </c>
      <c r="G8" s="44"/>
      <c r="H8" s="44"/>
    </row>
    <row r="9" spans="1:8" ht="18.5" x14ac:dyDescent="0.45">
      <c r="A9" s="44">
        <f t="shared" si="0"/>
        <v>123.52941176470588</v>
      </c>
      <c r="B9" s="9" t="s">
        <v>349</v>
      </c>
      <c r="C9" t="s">
        <v>346</v>
      </c>
      <c r="D9" s="44">
        <v>2100</v>
      </c>
      <c r="E9" s="71">
        <v>134.61538461538461</v>
      </c>
      <c r="F9" s="44">
        <v>1700</v>
      </c>
      <c r="G9" s="44"/>
      <c r="H9" s="44"/>
    </row>
    <row r="10" spans="1:8" ht="18.5" x14ac:dyDescent="0.45">
      <c r="A10" s="44">
        <f t="shared" si="0"/>
        <v>223.52941176470588</v>
      </c>
      <c r="B10" s="9" t="s">
        <v>528</v>
      </c>
      <c r="C10" t="s">
        <v>562</v>
      </c>
      <c r="D10" s="44">
        <v>1520</v>
      </c>
      <c r="E10" s="71">
        <v>130.92161929371233</v>
      </c>
      <c r="F10" s="44">
        <v>680</v>
      </c>
      <c r="G10" s="44"/>
      <c r="H10" s="44">
        <v>390</v>
      </c>
    </row>
    <row r="11" spans="1:8" ht="18.5" x14ac:dyDescent="0.45">
      <c r="A11" s="44">
        <f t="shared" si="0"/>
        <v>235.06988564167725</v>
      </c>
      <c r="B11" s="9" t="s">
        <v>560</v>
      </c>
      <c r="C11" t="s">
        <v>561</v>
      </c>
      <c r="D11" s="44">
        <v>1850</v>
      </c>
      <c r="E11" s="71">
        <v>127.06043956043956</v>
      </c>
      <c r="F11" s="44">
        <v>787</v>
      </c>
      <c r="G11" s="44"/>
      <c r="H11" s="44"/>
    </row>
    <row r="12" spans="1:8" ht="18.5" x14ac:dyDescent="0.45">
      <c r="A12" s="44">
        <f t="shared" si="0"/>
        <v>284.78747203579417</v>
      </c>
      <c r="B12" s="9" t="s">
        <v>7</v>
      </c>
      <c r="C12" t="s">
        <v>55</v>
      </c>
      <c r="D12" s="44">
        <v>1273</v>
      </c>
      <c r="E12" s="71">
        <v>126.03960396039605</v>
      </c>
      <c r="F12" s="44">
        <v>447</v>
      </c>
      <c r="G12" s="44"/>
      <c r="H12" s="44"/>
    </row>
    <row r="13" spans="1:8" ht="18.5" x14ac:dyDescent="0.45">
      <c r="A13" s="44">
        <f t="shared" si="0"/>
        <v>227.73972602739727</v>
      </c>
      <c r="B13" s="9" t="s">
        <v>306</v>
      </c>
      <c r="C13" t="s">
        <v>305</v>
      </c>
      <c r="D13" s="44">
        <v>1330</v>
      </c>
      <c r="E13" s="71">
        <v>124.765478424015</v>
      </c>
      <c r="F13" s="44">
        <v>584</v>
      </c>
      <c r="G13" s="44"/>
      <c r="H13" s="44"/>
    </row>
    <row r="14" spans="1:8" ht="18.5" x14ac:dyDescent="0.45">
      <c r="A14" s="44">
        <f t="shared" si="0"/>
        <v>153.83432043688947</v>
      </c>
      <c r="B14" s="9" t="s">
        <v>331</v>
      </c>
      <c r="C14" t="s">
        <v>97</v>
      </c>
      <c r="D14" s="44">
        <v>1200</v>
      </c>
      <c r="E14" s="71">
        <v>123.07692307692308</v>
      </c>
      <c r="F14" s="44">
        <v>780.06</v>
      </c>
      <c r="G14" s="44"/>
      <c r="H14" s="44"/>
    </row>
    <row r="15" spans="1:8" ht="18.5" x14ac:dyDescent="0.45">
      <c r="A15" s="44">
        <f t="shared" si="0"/>
        <v>171.13665389527458</v>
      </c>
      <c r="B15" s="9" t="s">
        <v>230</v>
      </c>
      <c r="C15" t="s">
        <v>231</v>
      </c>
      <c r="D15" s="44">
        <v>1340</v>
      </c>
      <c r="E15" s="71">
        <v>121.37681159420291</v>
      </c>
      <c r="F15" s="44">
        <v>783</v>
      </c>
      <c r="G15" s="44"/>
      <c r="H15" s="44">
        <v>346</v>
      </c>
    </row>
    <row r="16" spans="1:8" ht="18.5" x14ac:dyDescent="0.45">
      <c r="A16" s="44">
        <f t="shared" si="0"/>
        <v>27.380430013163668</v>
      </c>
      <c r="B16" s="9" t="s">
        <v>1072</v>
      </c>
      <c r="C16" t="s">
        <v>1073</v>
      </c>
      <c r="D16" s="44">
        <v>249.6</v>
      </c>
      <c r="E16" s="71">
        <v>90.434782608695656</v>
      </c>
      <c r="F16" s="44">
        <v>911.6</v>
      </c>
      <c r="G16" s="44"/>
      <c r="H16" s="44"/>
    </row>
    <row r="17" spans="1:8" ht="18.5" x14ac:dyDescent="0.45">
      <c r="A17" s="44" t="str">
        <f t="shared" si="0"/>
        <v/>
      </c>
      <c r="B17" s="9" t="s">
        <v>53</v>
      </c>
      <c r="C17" t="s">
        <v>54</v>
      </c>
      <c r="D17" s="44"/>
      <c r="E17" s="71">
        <v>0</v>
      </c>
      <c r="F17" s="44"/>
      <c r="G17" s="44"/>
      <c r="H17" s="44"/>
    </row>
    <row r="18" spans="1:8" ht="18.5" x14ac:dyDescent="0.45">
      <c r="A18" s="44" t="str">
        <f t="shared" si="0"/>
        <v/>
      </c>
      <c r="B18" s="9" t="s">
        <v>70</v>
      </c>
      <c r="C18" t="s">
        <v>71</v>
      </c>
      <c r="D18" s="44"/>
      <c r="E18" s="71">
        <v>0</v>
      </c>
      <c r="F18" s="44"/>
      <c r="G18" s="44"/>
      <c r="H18" s="44"/>
    </row>
    <row r="19" spans="1:8" ht="18.5" x14ac:dyDescent="0.45">
      <c r="A19" s="44" t="str">
        <f t="shared" si="0"/>
        <v/>
      </c>
      <c r="B19" s="9" t="s">
        <v>329</v>
      </c>
      <c r="C19" t="s">
        <v>85</v>
      </c>
      <c r="D19" s="44"/>
      <c r="E19" s="71">
        <v>0</v>
      </c>
      <c r="F19" s="44"/>
      <c r="G19" s="44"/>
      <c r="H19" s="44"/>
    </row>
    <row r="20" spans="1:8" ht="18.5" x14ac:dyDescent="0.45">
      <c r="A20" s="44" t="str">
        <f t="shared" si="0"/>
        <v/>
      </c>
      <c r="B20" s="9" t="s">
        <v>108</v>
      </c>
      <c r="C20" t="s">
        <v>109</v>
      </c>
      <c r="D20" s="44"/>
      <c r="E20" s="71">
        <v>0</v>
      </c>
      <c r="F20" s="44"/>
      <c r="G20" s="44"/>
      <c r="H20" s="44"/>
    </row>
    <row r="21" spans="1:8" ht="18.5" x14ac:dyDescent="0.45">
      <c r="A21" s="44" t="str">
        <f t="shared" si="0"/>
        <v/>
      </c>
      <c r="B21" s="9" t="s">
        <v>117</v>
      </c>
      <c r="C21" t="s">
        <v>118</v>
      </c>
      <c r="D21" s="44"/>
      <c r="E21" s="71">
        <v>0</v>
      </c>
      <c r="F21" s="44"/>
      <c r="G21" s="44"/>
      <c r="H21" s="44"/>
    </row>
    <row r="22" spans="1:8" ht="18.5" x14ac:dyDescent="0.45">
      <c r="A22" s="44" t="str">
        <f t="shared" si="0"/>
        <v/>
      </c>
      <c r="B22" s="9" t="s">
        <v>136</v>
      </c>
      <c r="C22" t="s">
        <v>137</v>
      </c>
      <c r="D22" s="44"/>
      <c r="E22" s="71">
        <v>0</v>
      </c>
      <c r="F22" s="44"/>
      <c r="G22" s="44"/>
      <c r="H22" s="44"/>
    </row>
    <row r="23" spans="1:8" ht="18.5" x14ac:dyDescent="0.45">
      <c r="A23" s="44" t="str">
        <f t="shared" si="0"/>
        <v/>
      </c>
      <c r="B23" s="9" t="s">
        <v>142</v>
      </c>
      <c r="C23" t="s">
        <v>143</v>
      </c>
      <c r="D23" s="44"/>
      <c r="E23" s="71">
        <v>0</v>
      </c>
      <c r="F23" s="44"/>
      <c r="G23" s="44"/>
      <c r="H23" s="44"/>
    </row>
    <row r="24" spans="1:8" ht="18.5" x14ac:dyDescent="0.45">
      <c r="A24" s="44" t="str">
        <f t="shared" si="0"/>
        <v/>
      </c>
      <c r="B24" s="9" t="s">
        <v>123</v>
      </c>
      <c r="C24" t="s">
        <v>151</v>
      </c>
      <c r="D24" s="44"/>
      <c r="E24" s="71">
        <v>0</v>
      </c>
      <c r="F24" s="44"/>
      <c r="G24" s="44"/>
      <c r="H24" s="44"/>
    </row>
    <row r="25" spans="1:8" ht="18.5" x14ac:dyDescent="0.45">
      <c r="A25" s="44" t="str">
        <f t="shared" si="0"/>
        <v/>
      </c>
      <c r="B25" s="9" t="s">
        <v>169</v>
      </c>
      <c r="C25" t="s">
        <v>170</v>
      </c>
      <c r="D25" s="44"/>
      <c r="E25" s="71">
        <v>0</v>
      </c>
      <c r="F25" s="44"/>
      <c r="G25" s="44"/>
      <c r="H25" s="44"/>
    </row>
    <row r="26" spans="1:8" ht="18.5" x14ac:dyDescent="0.45">
      <c r="A26" s="44" t="str">
        <f t="shared" si="0"/>
        <v/>
      </c>
      <c r="B26" s="9" t="s">
        <v>172</v>
      </c>
      <c r="C26" t="s">
        <v>173</v>
      </c>
      <c r="D26" s="44"/>
      <c r="E26" s="71">
        <v>0</v>
      </c>
      <c r="F26" s="44"/>
      <c r="G26" s="44"/>
      <c r="H26" s="44"/>
    </row>
    <row r="27" spans="1:8" ht="18.5" x14ac:dyDescent="0.45">
      <c r="A27" s="44" t="str">
        <f t="shared" si="0"/>
        <v/>
      </c>
      <c r="B27" s="9" t="s">
        <v>182</v>
      </c>
      <c r="C27" t="s">
        <v>183</v>
      </c>
      <c r="D27" s="44"/>
      <c r="E27" s="71">
        <v>0</v>
      </c>
      <c r="F27" s="44"/>
      <c r="G27" s="44"/>
      <c r="H27" s="44"/>
    </row>
    <row r="28" spans="1:8" ht="18.5" x14ac:dyDescent="0.45">
      <c r="A28" s="44" t="str">
        <f t="shared" si="0"/>
        <v/>
      </c>
      <c r="B28" s="9" t="s">
        <v>204</v>
      </c>
      <c r="C28" t="s">
        <v>210</v>
      </c>
      <c r="D28" s="44"/>
      <c r="E28" s="71">
        <v>0</v>
      </c>
      <c r="F28" s="44"/>
      <c r="G28" s="44"/>
      <c r="H28" s="44"/>
    </row>
    <row r="29" spans="1:8" ht="18.5" x14ac:dyDescent="0.45">
      <c r="A29" s="44" t="str">
        <f t="shared" si="0"/>
        <v/>
      </c>
      <c r="B29" s="9" t="s">
        <v>220</v>
      </c>
      <c r="C29" t="s">
        <v>221</v>
      </c>
      <c r="D29" s="44"/>
      <c r="E29" s="71">
        <v>0</v>
      </c>
      <c r="F29" s="44"/>
      <c r="G29" s="44"/>
      <c r="H29" s="44"/>
    </row>
    <row r="30" spans="1:8" ht="18.5" x14ac:dyDescent="0.45">
      <c r="A30" s="44" t="str">
        <f t="shared" si="0"/>
        <v/>
      </c>
      <c r="B30" s="9" t="s">
        <v>240</v>
      </c>
      <c r="C30" t="s">
        <v>143</v>
      </c>
      <c r="D30" s="44"/>
      <c r="E30" s="71">
        <v>0</v>
      </c>
      <c r="F30" s="44"/>
      <c r="G30" s="44"/>
      <c r="H30" s="44"/>
    </row>
    <row r="31" spans="1:8" ht="18.5" x14ac:dyDescent="0.45">
      <c r="A31" s="44" t="str">
        <f t="shared" si="0"/>
        <v/>
      </c>
      <c r="B31" s="9" t="s">
        <v>248</v>
      </c>
      <c r="C31" t="s">
        <v>249</v>
      </c>
      <c r="D31" s="44"/>
      <c r="E31" s="71">
        <v>0</v>
      </c>
      <c r="F31" s="44"/>
      <c r="G31" s="44"/>
      <c r="H31" s="44"/>
    </row>
    <row r="32" spans="1:8" ht="18.5" x14ac:dyDescent="0.45">
      <c r="A32" s="44" t="str">
        <f t="shared" si="0"/>
        <v/>
      </c>
      <c r="B32" s="9" t="s">
        <v>261</v>
      </c>
      <c r="C32" t="s">
        <v>262</v>
      </c>
      <c r="D32" s="44"/>
      <c r="E32" s="71">
        <v>0</v>
      </c>
      <c r="F32" s="44"/>
      <c r="G32" s="44"/>
      <c r="H32" s="44"/>
    </row>
    <row r="33" spans="1:8" ht="18.5" x14ac:dyDescent="0.45">
      <c r="A33" s="44" t="str">
        <f t="shared" si="0"/>
        <v/>
      </c>
      <c r="B33" s="9" t="s">
        <v>285</v>
      </c>
      <c r="C33" t="s">
        <v>286</v>
      </c>
      <c r="D33" s="44"/>
      <c r="E33" s="71">
        <v>0</v>
      </c>
      <c r="F33" s="44"/>
      <c r="G33" s="44"/>
      <c r="H33" s="44"/>
    </row>
    <row r="34" spans="1:8" ht="18.5" x14ac:dyDescent="0.45">
      <c r="A34" s="44" t="str">
        <f t="shared" si="0"/>
        <v/>
      </c>
      <c r="B34" s="9" t="s">
        <v>288</v>
      </c>
      <c r="C34" t="s">
        <v>289</v>
      </c>
      <c r="D34" s="44"/>
      <c r="E34" s="71">
        <v>0</v>
      </c>
      <c r="F34" s="44"/>
      <c r="G34" s="44"/>
      <c r="H34" s="44"/>
    </row>
    <row r="35" spans="1:8" ht="18.5" x14ac:dyDescent="0.45">
      <c r="A35" s="44" t="str">
        <f t="shared" si="0"/>
        <v/>
      </c>
      <c r="B35" s="9" t="s">
        <v>312</v>
      </c>
      <c r="C35" t="s">
        <v>313</v>
      </c>
      <c r="D35" s="44"/>
      <c r="E35" s="71">
        <v>0</v>
      </c>
      <c r="F35" s="44"/>
      <c r="G35" s="44"/>
      <c r="H35" s="44"/>
    </row>
    <row r="36" spans="1:8" ht="18.5" x14ac:dyDescent="0.45">
      <c r="A36" s="44" t="str">
        <f t="shared" si="0"/>
        <v/>
      </c>
      <c r="B36" s="9" t="s">
        <v>304</v>
      </c>
      <c r="C36" t="s">
        <v>289</v>
      </c>
      <c r="D36" s="44"/>
      <c r="E36" s="71">
        <v>0</v>
      </c>
      <c r="F36" s="44"/>
      <c r="G36" s="44"/>
      <c r="H36" s="44"/>
    </row>
    <row r="37" spans="1:8" ht="18.5" x14ac:dyDescent="0.45">
      <c r="A37" s="44" t="str">
        <f t="shared" si="0"/>
        <v/>
      </c>
      <c r="B37" s="9" t="s">
        <v>308</v>
      </c>
      <c r="C37" t="s">
        <v>309</v>
      </c>
      <c r="D37" s="44"/>
      <c r="E37" s="71">
        <v>0</v>
      </c>
      <c r="F37" s="44"/>
      <c r="G37" s="44"/>
      <c r="H37" s="44"/>
    </row>
    <row r="38" spans="1:8" ht="18.5" x14ac:dyDescent="0.45">
      <c r="A38" s="44" t="str">
        <f t="shared" si="0"/>
        <v/>
      </c>
      <c r="B38" s="9" t="s">
        <v>375</v>
      </c>
      <c r="C38" t="s">
        <v>429</v>
      </c>
      <c r="D38" s="44"/>
      <c r="E38" s="71">
        <v>0</v>
      </c>
      <c r="F38" s="44"/>
      <c r="G38" s="44"/>
      <c r="H38" s="44"/>
    </row>
    <row r="39" spans="1:8" ht="18.5" x14ac:dyDescent="0.45">
      <c r="A39" s="44" t="str">
        <f t="shared" si="0"/>
        <v/>
      </c>
      <c r="B39" s="9" t="s">
        <v>582</v>
      </c>
      <c r="C39" t="s">
        <v>610</v>
      </c>
      <c r="D39" s="44"/>
      <c r="E39" s="71">
        <v>0</v>
      </c>
      <c r="F39" s="44"/>
      <c r="G39" s="44"/>
      <c r="H39" s="44"/>
    </row>
    <row r="40" spans="1:8" ht="18.5" x14ac:dyDescent="0.45">
      <c r="A40" s="44" t="str">
        <f t="shared" si="0"/>
        <v/>
      </c>
      <c r="B40" s="9" t="s">
        <v>641</v>
      </c>
      <c r="C40" t="s">
        <v>642</v>
      </c>
      <c r="D40" s="44"/>
      <c r="E40" s="71">
        <v>0</v>
      </c>
      <c r="F40" s="44"/>
      <c r="G40" s="44"/>
      <c r="H40" s="44"/>
    </row>
    <row r="41" spans="1:8" ht="18.5" x14ac:dyDescent="0.45">
      <c r="A41" s="44" t="str">
        <f t="shared" si="0"/>
        <v/>
      </c>
      <c r="B41" s="9" t="s">
        <v>659</v>
      </c>
      <c r="C41" t="s">
        <v>661</v>
      </c>
      <c r="D41" s="44"/>
      <c r="E41" s="71">
        <v>0</v>
      </c>
      <c r="F41" s="44"/>
      <c r="G41" s="44"/>
      <c r="H41" s="44"/>
    </row>
    <row r="42" spans="1:8" ht="18.5" x14ac:dyDescent="0.45">
      <c r="A42" s="44" t="s">
        <v>755</v>
      </c>
      <c r="B42" s="9" t="s">
        <v>674</v>
      </c>
      <c r="C42" t="s">
        <v>675</v>
      </c>
      <c r="D42" s="44"/>
      <c r="E42" s="71">
        <v>0</v>
      </c>
      <c r="F42" s="44"/>
      <c r="G42" s="44"/>
      <c r="H42" s="44"/>
    </row>
    <row r="43" spans="1:8" x14ac:dyDescent="0.35">
      <c r="A43" s="44" t="s">
        <v>755</v>
      </c>
      <c r="B43" t="s">
        <v>1031</v>
      </c>
      <c r="C43" t="s">
        <v>1032</v>
      </c>
      <c r="D43" s="44"/>
      <c r="E43" s="44">
        <v>0</v>
      </c>
      <c r="F43" s="44"/>
      <c r="G43" s="44"/>
      <c r="H43" s="44"/>
    </row>
    <row r="44" spans="1:8" x14ac:dyDescent="0.35">
      <c r="A44" s="44" t="s">
        <v>755</v>
      </c>
      <c r="D44" s="44"/>
      <c r="E44" s="44"/>
      <c r="F44" s="44"/>
      <c r="G44" s="44"/>
      <c r="H44" s="44"/>
    </row>
    <row r="45" spans="1:8" x14ac:dyDescent="0.35">
      <c r="A45" s="44" t="s">
        <v>755</v>
      </c>
      <c r="D45" s="44"/>
      <c r="E45" s="44"/>
      <c r="F45" s="44"/>
      <c r="G45" s="44"/>
      <c r="H45" s="44"/>
    </row>
    <row r="46" spans="1:8" x14ac:dyDescent="0.35">
      <c r="A46" s="44" t="s">
        <v>755</v>
      </c>
      <c r="D46" s="44"/>
      <c r="E46" s="44"/>
      <c r="F46" s="44"/>
      <c r="G46" s="44"/>
      <c r="H46" s="44"/>
    </row>
    <row r="47" spans="1:8" x14ac:dyDescent="0.35">
      <c r="A47" s="44" t="s">
        <v>755</v>
      </c>
      <c r="D47" s="44"/>
      <c r="E47" s="44"/>
      <c r="F47" s="44"/>
      <c r="G47" s="44"/>
      <c r="H47" s="44"/>
    </row>
    <row r="48" spans="1:8" x14ac:dyDescent="0.35">
      <c r="A48" s="44" t="s">
        <v>755</v>
      </c>
      <c r="D48" s="44"/>
      <c r="E48" s="44"/>
      <c r="F48" s="44"/>
      <c r="G48" s="44"/>
      <c r="H48" s="44"/>
    </row>
    <row r="49" spans="1:8" x14ac:dyDescent="0.35">
      <c r="A49" s="44" t="s">
        <v>755</v>
      </c>
      <c r="D49" s="44"/>
      <c r="E49" s="44"/>
      <c r="F49" s="44"/>
      <c r="G49" s="44"/>
      <c r="H49" s="44"/>
    </row>
    <row r="50" spans="1:8" x14ac:dyDescent="0.35">
      <c r="A50" s="44" t="s">
        <v>755</v>
      </c>
      <c r="D50" s="44"/>
      <c r="E50" s="44"/>
      <c r="F50" s="44"/>
      <c r="G50" s="44"/>
      <c r="H50" s="44"/>
    </row>
    <row r="51" spans="1:8" x14ac:dyDescent="0.35">
      <c r="A51" s="44" t="s">
        <v>755</v>
      </c>
      <c r="D51" s="44"/>
      <c r="E51" s="44"/>
      <c r="F51" s="44"/>
      <c r="G51" s="44"/>
      <c r="H51" s="44"/>
    </row>
    <row r="52" spans="1:8" x14ac:dyDescent="0.35">
      <c r="A52" s="44" t="s">
        <v>755</v>
      </c>
      <c r="D52" s="44"/>
      <c r="E52" s="44"/>
      <c r="F52" s="44"/>
      <c r="G52" s="44"/>
      <c r="H52" s="44"/>
    </row>
    <row r="53" spans="1:8" x14ac:dyDescent="0.35">
      <c r="A53" s="44" t="s">
        <v>755</v>
      </c>
      <c r="D53" s="44"/>
      <c r="E53" s="44"/>
      <c r="F53" s="44"/>
      <c r="G53" s="44"/>
      <c r="H53" s="44"/>
    </row>
    <row r="54" spans="1:8" x14ac:dyDescent="0.35">
      <c r="A54" s="44" t="s">
        <v>755</v>
      </c>
      <c r="D54" s="44"/>
      <c r="E54" s="44"/>
      <c r="F54" s="44"/>
      <c r="G54" s="44"/>
      <c r="H54" s="44"/>
    </row>
    <row r="55" spans="1:8" x14ac:dyDescent="0.35">
      <c r="A55" s="44" t="s">
        <v>755</v>
      </c>
      <c r="D55" s="44"/>
      <c r="E55" s="44"/>
      <c r="F55" s="44"/>
      <c r="G55" s="44"/>
      <c r="H55" s="44"/>
    </row>
    <row r="56" spans="1:8" x14ac:dyDescent="0.35">
      <c r="A56" s="44" t="s">
        <v>755</v>
      </c>
      <c r="D56" s="44"/>
      <c r="E56" s="44"/>
      <c r="F56" s="44"/>
      <c r="G56" s="44"/>
      <c r="H56" s="44"/>
    </row>
    <row r="57" spans="1:8" x14ac:dyDescent="0.35">
      <c r="A57" s="44" t="s">
        <v>755</v>
      </c>
      <c r="D57" s="44"/>
      <c r="E57" s="44"/>
      <c r="F57" s="44"/>
      <c r="G57" s="44"/>
      <c r="H57" s="44"/>
    </row>
    <row r="58" spans="1:8" x14ac:dyDescent="0.35">
      <c r="A58" s="44" t="s">
        <v>755</v>
      </c>
      <c r="D58" s="44"/>
      <c r="E58" s="44"/>
      <c r="F58" s="44"/>
      <c r="G58" s="44"/>
      <c r="H58" s="44"/>
    </row>
    <row r="59" spans="1:8" x14ac:dyDescent="0.35">
      <c r="A59" s="44" t="s">
        <v>755</v>
      </c>
      <c r="D59" s="44"/>
      <c r="E59" s="44"/>
      <c r="F59" s="44"/>
      <c r="G59" s="44"/>
      <c r="H59" s="44"/>
    </row>
    <row r="60" spans="1:8" x14ac:dyDescent="0.35">
      <c r="A60" s="44" t="s">
        <v>755</v>
      </c>
      <c r="D60" s="44"/>
      <c r="E60" s="44"/>
      <c r="F60" s="44"/>
      <c r="G60" s="44"/>
      <c r="H60" s="44"/>
    </row>
    <row r="61" spans="1:8" x14ac:dyDescent="0.35">
      <c r="A61" s="44" t="s">
        <v>755</v>
      </c>
      <c r="D61" s="44"/>
      <c r="E61" s="44"/>
      <c r="F61" s="44"/>
      <c r="G61" s="44"/>
      <c r="H61" s="44"/>
    </row>
    <row r="62" spans="1:8" x14ac:dyDescent="0.35">
      <c r="A62" s="44" t="s">
        <v>755</v>
      </c>
      <c r="D62" s="44"/>
      <c r="E62" s="44"/>
      <c r="F62" s="44"/>
      <c r="G62" s="44"/>
      <c r="H62" s="44"/>
    </row>
    <row r="63" spans="1:8" x14ac:dyDescent="0.35">
      <c r="A63" s="44" t="s">
        <v>755</v>
      </c>
      <c r="D63" s="44"/>
      <c r="E63" s="44"/>
      <c r="F63" s="44"/>
      <c r="G63" s="44"/>
      <c r="H63" s="44"/>
    </row>
    <row r="64" spans="1:8" x14ac:dyDescent="0.35">
      <c r="A64" s="44" t="s">
        <v>755</v>
      </c>
      <c r="D64" s="44"/>
      <c r="E64" s="44"/>
      <c r="F64" s="44"/>
      <c r="G64" s="44"/>
      <c r="H64" s="44"/>
    </row>
    <row r="65" spans="1:8" x14ac:dyDescent="0.35">
      <c r="A65" s="44" t="s">
        <v>755</v>
      </c>
      <c r="D65" s="44"/>
      <c r="E65" s="44"/>
      <c r="F65" s="44"/>
      <c r="G65" s="44"/>
      <c r="H65" s="44"/>
    </row>
    <row r="66" spans="1:8" x14ac:dyDescent="0.35">
      <c r="A66" s="44" t="s">
        <v>755</v>
      </c>
      <c r="D66" s="44"/>
      <c r="E66" s="44"/>
      <c r="F66" s="44"/>
      <c r="G66" s="44"/>
      <c r="H66" s="44"/>
    </row>
    <row r="67" spans="1:8" x14ac:dyDescent="0.35">
      <c r="A67" s="44" t="s">
        <v>755</v>
      </c>
      <c r="D67" s="44"/>
      <c r="E67" s="44"/>
      <c r="F67" s="44"/>
      <c r="G67" s="44"/>
      <c r="H67" s="44"/>
    </row>
    <row r="68" spans="1:8" x14ac:dyDescent="0.35">
      <c r="A68" s="44" t="s">
        <v>755</v>
      </c>
      <c r="D68" s="44"/>
      <c r="E68" s="44"/>
      <c r="F68" s="44"/>
      <c r="G68" s="44"/>
      <c r="H68" s="44"/>
    </row>
    <row r="69" spans="1:8" x14ac:dyDescent="0.35">
      <c r="A69" s="44" t="s">
        <v>755</v>
      </c>
      <c r="D69" s="44"/>
      <c r="E69" s="44"/>
      <c r="F69" s="44"/>
      <c r="G69" s="44"/>
      <c r="H69" s="44"/>
    </row>
    <row r="70" spans="1:8" x14ac:dyDescent="0.35">
      <c r="A70" s="44" t="s">
        <v>755</v>
      </c>
      <c r="D70" s="44"/>
      <c r="E70" s="44"/>
      <c r="F70" s="44"/>
      <c r="G70" s="44"/>
      <c r="H70" s="44"/>
    </row>
    <row r="71" spans="1:8" x14ac:dyDescent="0.35">
      <c r="A71" s="44" t="s">
        <v>755</v>
      </c>
      <c r="D71" s="44"/>
      <c r="E71" s="44"/>
      <c r="F71" s="44"/>
      <c r="G71" s="44"/>
      <c r="H71" s="44"/>
    </row>
    <row r="72" spans="1:8" x14ac:dyDescent="0.35">
      <c r="A72" s="44" t="s">
        <v>755</v>
      </c>
      <c r="D72" s="44"/>
      <c r="E72" s="44"/>
      <c r="F72" s="44"/>
      <c r="G72" s="44"/>
      <c r="H72" s="44"/>
    </row>
    <row r="73" spans="1:8" x14ac:dyDescent="0.35">
      <c r="A73" s="44" t="s">
        <v>755</v>
      </c>
      <c r="D73" s="44"/>
      <c r="E73" s="44"/>
      <c r="F73" s="44"/>
      <c r="G73" s="44"/>
      <c r="H73" s="44"/>
    </row>
    <row r="74" spans="1:8" x14ac:dyDescent="0.35">
      <c r="A74" s="44" t="s">
        <v>755</v>
      </c>
      <c r="D74" s="44"/>
      <c r="E74" s="44"/>
      <c r="F74" s="44"/>
      <c r="G74" s="44"/>
      <c r="H74" s="44"/>
    </row>
    <row r="75" spans="1:8" x14ac:dyDescent="0.35">
      <c r="A75" s="44" t="s">
        <v>755</v>
      </c>
      <c r="D75" s="44"/>
      <c r="E75" s="44"/>
      <c r="F75" s="44"/>
      <c r="G75" s="44"/>
      <c r="H75" s="44"/>
    </row>
    <row r="76" spans="1:8" x14ac:dyDescent="0.35">
      <c r="A76" s="44" t="s">
        <v>755</v>
      </c>
      <c r="D76" s="44"/>
      <c r="E76" s="44"/>
      <c r="F76" s="44"/>
      <c r="G76" s="44"/>
      <c r="H76" s="44"/>
    </row>
    <row r="77" spans="1:8" x14ac:dyDescent="0.35">
      <c r="A77" s="44" t="s">
        <v>755</v>
      </c>
      <c r="D77" s="44"/>
      <c r="E77" s="44"/>
      <c r="F77" s="44"/>
      <c r="G77" s="44"/>
      <c r="H77" s="44"/>
    </row>
    <row r="78" spans="1:8" x14ac:dyDescent="0.35">
      <c r="A78" s="44" t="s">
        <v>755</v>
      </c>
      <c r="D78" s="44"/>
      <c r="E78" s="44"/>
      <c r="F78" s="44"/>
      <c r="G78" s="44"/>
      <c r="H78" s="44"/>
    </row>
    <row r="79" spans="1:8" x14ac:dyDescent="0.35">
      <c r="A79" s="44" t="s">
        <v>755</v>
      </c>
      <c r="D79" s="44"/>
      <c r="E79" s="44"/>
      <c r="F79" s="44"/>
      <c r="G79" s="44"/>
      <c r="H79" s="44"/>
    </row>
    <row r="80" spans="1:8" x14ac:dyDescent="0.35">
      <c r="A80" s="44" t="s">
        <v>755</v>
      </c>
      <c r="D80" s="44"/>
      <c r="E80" s="44"/>
      <c r="F80" s="44"/>
      <c r="G80" s="44"/>
      <c r="H80" s="44"/>
    </row>
    <row r="81" spans="1:8" x14ac:dyDescent="0.35">
      <c r="A81" s="44" t="s">
        <v>755</v>
      </c>
      <c r="D81" s="44"/>
      <c r="E81" s="44"/>
      <c r="F81" s="44"/>
      <c r="G81" s="44"/>
      <c r="H81" s="44"/>
    </row>
    <row r="82" spans="1:8" x14ac:dyDescent="0.35">
      <c r="A82" s="44" t="s">
        <v>755</v>
      </c>
      <c r="D82" s="44"/>
      <c r="E82" s="44"/>
      <c r="F82" s="44"/>
      <c r="G82" s="44"/>
      <c r="H82" s="44"/>
    </row>
    <row r="83" spans="1:8" x14ac:dyDescent="0.35">
      <c r="A83" s="44" t="s">
        <v>755</v>
      </c>
      <c r="D83" s="44"/>
      <c r="E83" s="44"/>
      <c r="F83" s="44"/>
      <c r="G83" s="44"/>
      <c r="H83" s="44"/>
    </row>
    <row r="84" spans="1:8" x14ac:dyDescent="0.35">
      <c r="A84" s="44" t="s">
        <v>755</v>
      </c>
      <c r="D84" s="44"/>
      <c r="E84" s="44"/>
      <c r="F84" s="44"/>
      <c r="G84" s="44"/>
      <c r="H84" s="44"/>
    </row>
    <row r="85" spans="1:8" x14ac:dyDescent="0.35">
      <c r="A85" s="44" t="s">
        <v>755</v>
      </c>
      <c r="D85" s="44"/>
      <c r="E85" s="44"/>
      <c r="F85" s="44"/>
      <c r="G85" s="44"/>
      <c r="H85" s="44"/>
    </row>
    <row r="86" spans="1:8" x14ac:dyDescent="0.35">
      <c r="A86" s="44" t="s">
        <v>755</v>
      </c>
      <c r="D86" s="44"/>
      <c r="E86" s="44"/>
      <c r="F86" s="44"/>
      <c r="G86" s="44"/>
      <c r="H86" s="44"/>
    </row>
    <row r="87" spans="1:8" x14ac:dyDescent="0.35">
      <c r="A87" s="44" t="s">
        <v>755</v>
      </c>
      <c r="D87" s="44"/>
      <c r="E87" s="44"/>
      <c r="F87" s="44"/>
      <c r="G87" s="44"/>
      <c r="H87" s="44"/>
    </row>
    <row r="88" spans="1:8" x14ac:dyDescent="0.35">
      <c r="A88" s="44" t="s">
        <v>755</v>
      </c>
      <c r="D88" s="70"/>
      <c r="E88" s="70"/>
      <c r="F88" s="70"/>
      <c r="G88" s="70"/>
      <c r="H88" s="70"/>
    </row>
    <row r="89" spans="1:8" x14ac:dyDescent="0.35">
      <c r="A89" s="44" t="s">
        <v>755</v>
      </c>
      <c r="D89" s="70"/>
      <c r="E89" s="70"/>
      <c r="F89" s="70"/>
      <c r="G89" s="70"/>
      <c r="H89" s="70"/>
    </row>
    <row r="90" spans="1:8" x14ac:dyDescent="0.35">
      <c r="A90" s="44" t="s">
        <v>755</v>
      </c>
      <c r="D90" s="70"/>
      <c r="E90" s="70"/>
      <c r="F90" s="70"/>
      <c r="G90" s="70"/>
      <c r="H90" s="70"/>
    </row>
    <row r="91" spans="1:8" x14ac:dyDescent="0.35">
      <c r="A91" s="44" t="s">
        <v>755</v>
      </c>
      <c r="D91" s="70"/>
      <c r="E91" s="70"/>
      <c r="F91" s="70"/>
      <c r="G91" s="70"/>
      <c r="H91" s="70"/>
    </row>
    <row r="92" spans="1:8" x14ac:dyDescent="0.35">
      <c r="A92" s="44" t="s">
        <v>755</v>
      </c>
      <c r="D92" s="70"/>
      <c r="E92" s="70"/>
      <c r="F92" s="70"/>
      <c r="G92" s="70"/>
      <c r="H92" s="70"/>
    </row>
    <row r="93" spans="1:8" x14ac:dyDescent="0.35">
      <c r="A93" s="44" t="s">
        <v>755</v>
      </c>
    </row>
    <row r="94" spans="1:8" x14ac:dyDescent="0.35">
      <c r="A94" s="44" t="s">
        <v>755</v>
      </c>
    </row>
    <row r="95" spans="1:8" x14ac:dyDescent="0.35">
      <c r="A95" s="44" t="s">
        <v>755</v>
      </c>
    </row>
  </sheetData>
  <sortState ref="B4:H43">
    <sortCondition descending="1" ref="E4:E4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A2B0F-5268-4855-B1AB-7EFFCC8F3DB6}">
  <dimension ref="A1:N109"/>
  <sheetViews>
    <sheetView workbookViewId="0">
      <selection activeCell="C2" sqref="C2"/>
    </sheetView>
  </sheetViews>
  <sheetFormatPr defaultRowHeight="14.5" x14ac:dyDescent="0.35"/>
  <cols>
    <col min="1" max="1" width="15.7265625" customWidth="1"/>
    <col min="2" max="2" width="13.90625" customWidth="1"/>
    <col min="3" max="3" width="13.453125" customWidth="1"/>
    <col min="4" max="4" width="21.1796875" customWidth="1"/>
    <col min="5" max="5" width="13" customWidth="1"/>
    <col min="6" max="6" width="16.81640625" customWidth="1"/>
    <col min="7" max="7" width="15.08984375" customWidth="1"/>
    <col min="8" max="8" width="13.6328125" customWidth="1"/>
    <col min="9" max="9" width="13.08984375" customWidth="1"/>
    <col min="10" max="10" width="12.453125" customWidth="1"/>
    <col min="11" max="11" width="16.453125" customWidth="1"/>
    <col min="12" max="12" width="15.453125" customWidth="1"/>
    <col min="13" max="14" width="13.81640625" customWidth="1"/>
  </cols>
  <sheetData>
    <row r="1" spans="1:14" ht="21" x14ac:dyDescent="0.5">
      <c r="A1" s="32" t="s">
        <v>759</v>
      </c>
    </row>
    <row r="2" spans="1:14" x14ac:dyDescent="0.35">
      <c r="C2" t="s">
        <v>1075</v>
      </c>
      <c r="D2" s="4" t="s">
        <v>756</v>
      </c>
      <c r="E2" s="4"/>
    </row>
    <row r="3" spans="1:14" ht="44.5" x14ac:dyDescent="0.45">
      <c r="A3" s="45" t="s">
        <v>757</v>
      </c>
      <c r="B3" s="45" t="s">
        <v>758</v>
      </c>
      <c r="C3" s="9" t="s">
        <v>37</v>
      </c>
      <c r="D3" s="2" t="s">
        <v>38</v>
      </c>
      <c r="E3" s="12" t="s">
        <v>745</v>
      </c>
      <c r="F3" s="12" t="s">
        <v>746</v>
      </c>
      <c r="G3" s="12" t="s">
        <v>747</v>
      </c>
      <c r="H3" s="12" t="s">
        <v>748</v>
      </c>
      <c r="I3" s="12" t="s">
        <v>749</v>
      </c>
      <c r="J3" s="12" t="s">
        <v>750</v>
      </c>
      <c r="K3" s="12" t="s">
        <v>751</v>
      </c>
      <c r="L3" s="12" t="s">
        <v>752</v>
      </c>
      <c r="M3" s="12" t="s">
        <v>753</v>
      </c>
      <c r="N3" s="12" t="s">
        <v>754</v>
      </c>
    </row>
    <row r="4" spans="1:14" ht="18.5" x14ac:dyDescent="0.45">
      <c r="A4" s="43">
        <f t="shared" ref="A4:A41" si="0">IF(J4="","",100*E4/J4)</f>
        <v>91.990291262135926</v>
      </c>
      <c r="B4" s="44">
        <f t="shared" ref="B4:B41" si="1">IF(G4="","",100*E4/G4)</f>
        <v>115.02276176024279</v>
      </c>
      <c r="C4" s="9" t="s">
        <v>172</v>
      </c>
      <c r="D4" t="s">
        <v>173</v>
      </c>
      <c r="E4" s="44">
        <v>758</v>
      </c>
      <c r="F4" s="71">
        <v>112.29629629629629</v>
      </c>
      <c r="G4" s="44">
        <v>659</v>
      </c>
      <c r="H4" s="44"/>
      <c r="I4" s="44">
        <v>290</v>
      </c>
      <c r="J4" s="44">
        <v>824</v>
      </c>
      <c r="K4" s="71">
        <v>122.07407407407408</v>
      </c>
      <c r="L4" s="44">
        <v>695</v>
      </c>
      <c r="M4" s="44"/>
      <c r="N4" s="44">
        <v>304</v>
      </c>
    </row>
    <row r="5" spans="1:14" ht="18.5" x14ac:dyDescent="0.45">
      <c r="A5" s="43">
        <f t="shared" si="0"/>
        <v>98.792756539235413</v>
      </c>
      <c r="B5" s="44">
        <f t="shared" si="1"/>
        <v>125.73623559539053</v>
      </c>
      <c r="C5" s="9" t="s">
        <v>26</v>
      </c>
      <c r="D5" t="s">
        <v>27</v>
      </c>
      <c r="E5" s="44">
        <v>982</v>
      </c>
      <c r="F5" s="71">
        <v>108.86917960088692</v>
      </c>
      <c r="G5" s="44">
        <v>781</v>
      </c>
      <c r="H5" s="44"/>
      <c r="I5" s="44"/>
      <c r="J5" s="44">
        <v>994</v>
      </c>
      <c r="K5" s="71">
        <v>110.19955654101996</v>
      </c>
      <c r="L5" s="44"/>
      <c r="M5" s="44"/>
      <c r="N5" s="44"/>
    </row>
    <row r="6" spans="1:14" ht="18.5" x14ac:dyDescent="0.45">
      <c r="A6" s="43" t="str">
        <f t="shared" si="0"/>
        <v/>
      </c>
      <c r="B6" s="44">
        <f t="shared" si="1"/>
        <v>162.7147766323024</v>
      </c>
      <c r="C6" s="9" t="s">
        <v>201</v>
      </c>
      <c r="D6" t="s">
        <v>202</v>
      </c>
      <c r="E6" s="44">
        <v>947</v>
      </c>
      <c r="F6" s="71">
        <v>107.61363636363636</v>
      </c>
      <c r="G6" s="44">
        <v>582</v>
      </c>
      <c r="H6" s="44"/>
      <c r="I6" s="44"/>
      <c r="J6" s="44"/>
      <c r="K6" s="71">
        <v>0</v>
      </c>
      <c r="L6" s="44"/>
      <c r="M6" s="44"/>
      <c r="N6" s="44"/>
    </row>
    <row r="7" spans="1:14" ht="18.5" x14ac:dyDescent="0.45">
      <c r="A7" s="43" t="str">
        <f t="shared" si="0"/>
        <v/>
      </c>
      <c r="B7" s="44">
        <f t="shared" si="1"/>
        <v>154.01785714285714</v>
      </c>
      <c r="C7" s="9" t="s">
        <v>17</v>
      </c>
      <c r="D7" t="s">
        <v>56</v>
      </c>
      <c r="E7" s="44">
        <v>1380</v>
      </c>
      <c r="F7" s="71">
        <v>103.91566265060241</v>
      </c>
      <c r="G7" s="44">
        <v>896</v>
      </c>
      <c r="H7" s="44"/>
      <c r="I7" s="44"/>
      <c r="J7" s="44"/>
      <c r="K7" s="71">
        <v>0</v>
      </c>
      <c r="L7" s="44"/>
      <c r="M7" s="44"/>
      <c r="N7" s="44"/>
    </row>
    <row r="8" spans="1:14" ht="18.5" x14ac:dyDescent="0.45">
      <c r="A8" s="43" t="str">
        <f t="shared" si="0"/>
        <v/>
      </c>
      <c r="B8" s="44">
        <f t="shared" si="1"/>
        <v>200</v>
      </c>
      <c r="C8" s="9" t="s">
        <v>308</v>
      </c>
      <c r="D8" t="s">
        <v>309</v>
      </c>
      <c r="E8" s="44">
        <v>1170</v>
      </c>
      <c r="F8" s="71">
        <v>102.0052310374891</v>
      </c>
      <c r="G8" s="44">
        <v>585</v>
      </c>
      <c r="H8" s="44"/>
      <c r="I8" s="44"/>
      <c r="J8" s="44"/>
      <c r="K8" s="71">
        <v>0</v>
      </c>
      <c r="L8" s="44"/>
      <c r="M8" s="44"/>
      <c r="N8" s="44"/>
    </row>
    <row r="9" spans="1:14" ht="18.5" x14ac:dyDescent="0.45">
      <c r="A9" s="43" t="str">
        <f t="shared" si="0"/>
        <v/>
      </c>
      <c r="B9" s="44">
        <f t="shared" si="1"/>
        <v>117.39130434782609</v>
      </c>
      <c r="C9" s="9" t="s">
        <v>35</v>
      </c>
      <c r="D9" t="s">
        <v>57</v>
      </c>
      <c r="E9" s="44">
        <v>1350</v>
      </c>
      <c r="F9" s="71">
        <v>99.77827050997783</v>
      </c>
      <c r="G9" s="44">
        <v>1150</v>
      </c>
      <c r="H9" s="44">
        <v>300</v>
      </c>
      <c r="I9" s="44"/>
      <c r="J9" s="44"/>
      <c r="K9" s="71">
        <v>0</v>
      </c>
      <c r="L9" s="44"/>
      <c r="M9" s="44"/>
      <c r="N9" s="44"/>
    </row>
    <row r="10" spans="1:14" ht="18.5" x14ac:dyDescent="0.45">
      <c r="A10" s="43">
        <f t="shared" si="0"/>
        <v>99.054982817869416</v>
      </c>
      <c r="B10" s="44">
        <f t="shared" si="1"/>
        <v>138.08383233532933</v>
      </c>
      <c r="C10" s="9" t="s">
        <v>152</v>
      </c>
      <c r="D10" t="s">
        <v>159</v>
      </c>
      <c r="E10" s="44">
        <v>1153</v>
      </c>
      <c r="F10" s="71">
        <v>96.728187919463082</v>
      </c>
      <c r="G10" s="44">
        <v>835</v>
      </c>
      <c r="H10" s="44"/>
      <c r="I10" s="44"/>
      <c r="J10" s="44">
        <v>1164</v>
      </c>
      <c r="K10" s="71">
        <v>97.651006711409394</v>
      </c>
      <c r="L10" s="44">
        <v>905</v>
      </c>
      <c r="M10" s="44"/>
      <c r="N10" s="44"/>
    </row>
    <row r="11" spans="1:14" ht="18.5" x14ac:dyDescent="0.45">
      <c r="A11" s="43">
        <f t="shared" si="0"/>
        <v>85.9375</v>
      </c>
      <c r="B11" s="44">
        <f t="shared" si="1"/>
        <v>100</v>
      </c>
      <c r="C11" s="9" t="s">
        <v>240</v>
      </c>
      <c r="D11" t="s">
        <v>143</v>
      </c>
      <c r="E11" s="44">
        <v>1100</v>
      </c>
      <c r="F11" s="71">
        <v>96.491228070175438</v>
      </c>
      <c r="G11" s="44">
        <v>1100</v>
      </c>
      <c r="H11" s="44"/>
      <c r="I11" s="44"/>
      <c r="J11" s="44">
        <v>1280</v>
      </c>
      <c r="K11" s="71">
        <v>112.28070175438596</v>
      </c>
      <c r="L11" s="44">
        <v>1016.48</v>
      </c>
      <c r="M11" s="44"/>
      <c r="N11" s="44"/>
    </row>
    <row r="12" spans="1:14" ht="18.5" x14ac:dyDescent="0.45">
      <c r="A12" s="43" t="str">
        <f t="shared" si="0"/>
        <v/>
      </c>
      <c r="B12" s="44">
        <f t="shared" si="1"/>
        <v>67.272727272727266</v>
      </c>
      <c r="C12" s="9" t="s">
        <v>349</v>
      </c>
      <c r="D12" t="s">
        <v>346</v>
      </c>
      <c r="E12" s="44">
        <v>1480</v>
      </c>
      <c r="F12" s="71">
        <v>94.871794871794876</v>
      </c>
      <c r="G12" s="44">
        <v>2200</v>
      </c>
      <c r="H12" s="44"/>
      <c r="I12" s="44"/>
      <c r="J12" s="44"/>
      <c r="K12" s="71">
        <v>0</v>
      </c>
      <c r="L12" s="44"/>
      <c r="M12" s="44"/>
      <c r="N12" s="44"/>
    </row>
    <row r="13" spans="1:14" ht="18.5" x14ac:dyDescent="0.45">
      <c r="A13" s="43">
        <f t="shared" si="0"/>
        <v>96.806387225548903</v>
      </c>
      <c r="B13" s="44">
        <f t="shared" si="1"/>
        <v>90.654205607476641</v>
      </c>
      <c r="C13" s="9" t="s">
        <v>304</v>
      </c>
      <c r="D13" t="s">
        <v>289</v>
      </c>
      <c r="E13" s="44">
        <v>970</v>
      </c>
      <c r="F13" s="71">
        <v>93.269230769230759</v>
      </c>
      <c r="G13" s="44">
        <v>1070</v>
      </c>
      <c r="H13" s="44"/>
      <c r="I13" s="44"/>
      <c r="J13" s="44">
        <v>1002</v>
      </c>
      <c r="K13" s="71">
        <v>96.34615384615384</v>
      </c>
      <c r="L13" s="44">
        <v>1108</v>
      </c>
      <c r="M13" s="44"/>
      <c r="N13" s="44"/>
    </row>
    <row r="14" spans="1:14" ht="18.5" x14ac:dyDescent="0.45">
      <c r="A14" s="43" t="str">
        <f t="shared" si="0"/>
        <v/>
      </c>
      <c r="B14" s="44">
        <f t="shared" si="1"/>
        <v>91.13300492610837</v>
      </c>
      <c r="C14" s="9" t="s">
        <v>204</v>
      </c>
      <c r="D14" t="s">
        <v>210</v>
      </c>
      <c r="E14" s="44">
        <v>1110</v>
      </c>
      <c r="F14" s="71">
        <v>92.5</v>
      </c>
      <c r="G14" s="44">
        <v>1218</v>
      </c>
      <c r="H14" s="44"/>
      <c r="I14" s="44">
        <v>553</v>
      </c>
      <c r="J14" s="44"/>
      <c r="K14" s="71">
        <v>0</v>
      </c>
      <c r="L14" s="44"/>
      <c r="M14" s="44"/>
      <c r="N14" s="44"/>
    </row>
    <row r="15" spans="1:14" ht="18.5" x14ac:dyDescent="0.45">
      <c r="A15" s="43">
        <f t="shared" si="0"/>
        <v>104.31588613406795</v>
      </c>
      <c r="B15" s="44">
        <f t="shared" si="1"/>
        <v>119.83122362869199</v>
      </c>
      <c r="C15" s="9" t="s">
        <v>169</v>
      </c>
      <c r="D15" t="s">
        <v>170</v>
      </c>
      <c r="E15" s="44">
        <v>1136</v>
      </c>
      <c r="F15" s="71">
        <v>92.470492470492474</v>
      </c>
      <c r="G15" s="44">
        <v>948</v>
      </c>
      <c r="H15" s="44"/>
      <c r="I15" s="44"/>
      <c r="J15" s="44">
        <v>1089</v>
      </c>
      <c r="K15" s="71">
        <v>88.644688644688642</v>
      </c>
      <c r="L15" s="44">
        <v>737</v>
      </c>
      <c r="M15" s="44"/>
      <c r="N15" s="44"/>
    </row>
    <row r="16" spans="1:14" ht="18.5" x14ac:dyDescent="0.45">
      <c r="A16" s="43">
        <f t="shared" si="0"/>
        <v>96.997690531177824</v>
      </c>
      <c r="B16" s="44">
        <f t="shared" si="1"/>
        <v>99.448298723746831</v>
      </c>
      <c r="C16" s="9" t="s">
        <v>331</v>
      </c>
      <c r="D16" t="s">
        <v>97</v>
      </c>
      <c r="E16" s="44">
        <v>840</v>
      </c>
      <c r="F16" s="71">
        <v>86.15384615384616</v>
      </c>
      <c r="G16" s="44">
        <v>844.66</v>
      </c>
      <c r="H16" s="44"/>
      <c r="I16" s="44"/>
      <c r="J16" s="44">
        <v>866</v>
      </c>
      <c r="K16" s="71">
        <v>88.820512820512818</v>
      </c>
      <c r="L16" s="44">
        <v>936.5</v>
      </c>
      <c r="M16" s="44"/>
      <c r="N16" s="44"/>
    </row>
    <row r="17" spans="1:14" ht="18.5" x14ac:dyDescent="0.45">
      <c r="A17" s="43" t="str">
        <f t="shared" si="0"/>
        <v/>
      </c>
      <c r="B17" s="44">
        <f t="shared" si="1"/>
        <v>113.29545454545455</v>
      </c>
      <c r="C17" s="9" t="s">
        <v>528</v>
      </c>
      <c r="D17" t="s">
        <v>562</v>
      </c>
      <c r="E17" s="44">
        <v>997</v>
      </c>
      <c r="F17" s="71">
        <v>85.874246339362628</v>
      </c>
      <c r="G17" s="44">
        <v>880</v>
      </c>
      <c r="H17" s="44"/>
      <c r="I17" s="44"/>
      <c r="J17" s="44"/>
      <c r="K17" s="71">
        <v>0</v>
      </c>
      <c r="L17" s="44"/>
      <c r="M17" s="44"/>
      <c r="N17" s="44"/>
    </row>
    <row r="18" spans="1:14" ht="18.5" x14ac:dyDescent="0.45">
      <c r="A18" s="43">
        <f t="shared" si="0"/>
        <v>91.047619047619051</v>
      </c>
      <c r="B18" s="44">
        <f t="shared" si="1"/>
        <v>118.4634448574969</v>
      </c>
      <c r="C18" s="9" t="s">
        <v>220</v>
      </c>
      <c r="D18" t="s">
        <v>221</v>
      </c>
      <c r="E18" s="44">
        <v>956</v>
      </c>
      <c r="F18" s="71">
        <v>83.859649122807014</v>
      </c>
      <c r="G18" s="44">
        <v>807</v>
      </c>
      <c r="H18" s="44"/>
      <c r="I18" s="44">
        <v>518</v>
      </c>
      <c r="J18" s="44">
        <v>1050</v>
      </c>
      <c r="K18" s="71">
        <v>92.10526315789474</v>
      </c>
      <c r="L18" s="44">
        <v>883</v>
      </c>
      <c r="M18" s="44"/>
      <c r="N18" s="44">
        <v>625</v>
      </c>
    </row>
    <row r="19" spans="1:14" ht="18.5" x14ac:dyDescent="0.45">
      <c r="A19" s="43">
        <f t="shared" si="0"/>
        <v>92.039258451472193</v>
      </c>
      <c r="B19" s="44">
        <f t="shared" si="1"/>
        <v>95.583238958097397</v>
      </c>
      <c r="C19" s="9" t="s">
        <v>7</v>
      </c>
      <c r="D19" t="s">
        <v>55</v>
      </c>
      <c r="E19" s="44">
        <v>844</v>
      </c>
      <c r="F19" s="71">
        <v>83.56435643564356</v>
      </c>
      <c r="G19" s="44">
        <v>883</v>
      </c>
      <c r="H19" s="44"/>
      <c r="I19" s="44"/>
      <c r="J19" s="44">
        <v>917</v>
      </c>
      <c r="K19" s="71">
        <v>90.792079207920793</v>
      </c>
      <c r="L19" s="44">
        <v>974</v>
      </c>
      <c r="M19" s="44"/>
      <c r="N19" s="44"/>
    </row>
    <row r="20" spans="1:14" ht="18.5" x14ac:dyDescent="0.45">
      <c r="A20" s="43">
        <f t="shared" si="0"/>
        <v>99.672846237731733</v>
      </c>
      <c r="B20" s="44">
        <f t="shared" si="1"/>
        <v>84.551341350601291</v>
      </c>
      <c r="C20" s="9" t="s">
        <v>136</v>
      </c>
      <c r="D20" t="s">
        <v>137</v>
      </c>
      <c r="E20" s="44">
        <v>914</v>
      </c>
      <c r="F20" s="71">
        <v>81.973094170403584</v>
      </c>
      <c r="G20" s="44">
        <v>1081</v>
      </c>
      <c r="H20" s="44"/>
      <c r="I20" s="44"/>
      <c r="J20" s="44">
        <v>917</v>
      </c>
      <c r="K20" s="71">
        <v>82.242152466367713</v>
      </c>
      <c r="L20" s="44">
        <v>1060</v>
      </c>
      <c r="M20" s="44"/>
      <c r="N20" s="44"/>
    </row>
    <row r="21" spans="1:14" ht="18.5" x14ac:dyDescent="0.45">
      <c r="A21" s="43" t="str">
        <f t="shared" si="0"/>
        <v/>
      </c>
      <c r="B21" s="44">
        <f t="shared" si="1"/>
        <v>102.78099652375434</v>
      </c>
      <c r="C21" s="9" t="s">
        <v>230</v>
      </c>
      <c r="D21" t="s">
        <v>231</v>
      </c>
      <c r="E21" s="44">
        <v>887</v>
      </c>
      <c r="F21" s="71">
        <v>80.344202898550733</v>
      </c>
      <c r="G21" s="44">
        <v>863</v>
      </c>
      <c r="H21" s="44"/>
      <c r="I21" s="44">
        <v>453</v>
      </c>
      <c r="J21" s="44"/>
      <c r="K21" s="71">
        <v>0</v>
      </c>
      <c r="L21" s="44"/>
      <c r="M21" s="44"/>
      <c r="N21" s="44"/>
    </row>
    <row r="22" spans="1:14" ht="18.5" x14ac:dyDescent="0.45">
      <c r="A22" s="43" t="str">
        <f t="shared" si="0"/>
        <v/>
      </c>
      <c r="B22" s="44">
        <f t="shared" si="1"/>
        <v>13.86385426653883</v>
      </c>
      <c r="C22" s="9" t="s">
        <v>1072</v>
      </c>
      <c r="D22" t="s">
        <v>1073</v>
      </c>
      <c r="E22" s="44">
        <v>144.6</v>
      </c>
      <c r="F22" s="71">
        <v>52.391304347826086</v>
      </c>
      <c r="G22" s="44">
        <v>1043</v>
      </c>
      <c r="H22" s="44"/>
      <c r="I22" s="44"/>
      <c r="J22" s="44"/>
      <c r="K22" s="71">
        <v>0</v>
      </c>
      <c r="L22" s="44"/>
      <c r="M22" s="44"/>
      <c r="N22" s="44"/>
    </row>
    <row r="23" spans="1:14" ht="18.5" x14ac:dyDescent="0.45">
      <c r="A23" s="43" t="str">
        <f t="shared" si="0"/>
        <v/>
      </c>
      <c r="B23" s="44" t="str">
        <f t="shared" si="1"/>
        <v/>
      </c>
      <c r="C23" s="9" t="s">
        <v>53</v>
      </c>
      <c r="D23" t="s">
        <v>54</v>
      </c>
      <c r="E23" s="44"/>
      <c r="F23" s="71">
        <v>0</v>
      </c>
      <c r="G23" s="44"/>
      <c r="H23" s="44"/>
      <c r="I23" s="44"/>
      <c r="J23" s="44"/>
      <c r="K23" s="71">
        <v>0</v>
      </c>
      <c r="L23" s="44"/>
      <c r="M23" s="44"/>
      <c r="N23" s="44"/>
    </row>
    <row r="24" spans="1:14" ht="18.5" x14ac:dyDescent="0.45">
      <c r="A24" s="43" t="str">
        <f t="shared" si="0"/>
        <v/>
      </c>
      <c r="B24" s="44" t="str">
        <f t="shared" si="1"/>
        <v/>
      </c>
      <c r="C24" s="9" t="s">
        <v>70</v>
      </c>
      <c r="D24" t="s">
        <v>71</v>
      </c>
      <c r="E24" s="44"/>
      <c r="F24" s="71">
        <v>0</v>
      </c>
      <c r="G24" s="44"/>
      <c r="H24" s="44"/>
      <c r="I24" s="44"/>
      <c r="J24" s="44"/>
      <c r="K24" s="71">
        <v>0</v>
      </c>
      <c r="L24" s="44"/>
      <c r="M24" s="44"/>
      <c r="N24" s="44"/>
    </row>
    <row r="25" spans="1:14" ht="18.5" x14ac:dyDescent="0.45">
      <c r="A25" s="43" t="str">
        <f t="shared" si="0"/>
        <v/>
      </c>
      <c r="B25" s="44" t="str">
        <f t="shared" si="1"/>
        <v/>
      </c>
      <c r="C25" s="9" t="s">
        <v>329</v>
      </c>
      <c r="D25" t="s">
        <v>85</v>
      </c>
      <c r="E25" s="44"/>
      <c r="F25" s="71">
        <v>0</v>
      </c>
      <c r="G25" s="44"/>
      <c r="H25" s="44"/>
      <c r="I25" s="44"/>
      <c r="J25" s="44"/>
      <c r="K25" s="71">
        <v>0</v>
      </c>
      <c r="L25" s="44"/>
      <c r="M25" s="44"/>
      <c r="N25" s="44"/>
    </row>
    <row r="26" spans="1:14" ht="18.5" x14ac:dyDescent="0.45">
      <c r="A26" s="43" t="str">
        <f t="shared" si="0"/>
        <v/>
      </c>
      <c r="B26" s="44" t="str">
        <f t="shared" si="1"/>
        <v/>
      </c>
      <c r="C26" s="9" t="s">
        <v>108</v>
      </c>
      <c r="D26" t="s">
        <v>109</v>
      </c>
      <c r="E26" s="44"/>
      <c r="F26" s="71">
        <v>0</v>
      </c>
      <c r="G26" s="44"/>
      <c r="H26" s="44"/>
      <c r="I26" s="44"/>
      <c r="J26" s="44"/>
      <c r="K26" s="71">
        <v>0</v>
      </c>
      <c r="L26" s="44"/>
      <c r="M26" s="44"/>
      <c r="N26" s="44"/>
    </row>
    <row r="27" spans="1:14" ht="18.5" x14ac:dyDescent="0.45">
      <c r="A27" s="43" t="str">
        <f t="shared" si="0"/>
        <v/>
      </c>
      <c r="B27" s="44" t="str">
        <f t="shared" si="1"/>
        <v/>
      </c>
      <c r="C27" s="9" t="s">
        <v>117</v>
      </c>
      <c r="D27" t="s">
        <v>118</v>
      </c>
      <c r="E27" s="44"/>
      <c r="F27" s="71">
        <v>0</v>
      </c>
      <c r="G27" s="44"/>
      <c r="H27" s="44"/>
      <c r="I27" s="44"/>
      <c r="J27" s="44"/>
      <c r="K27" s="71">
        <v>0</v>
      </c>
      <c r="L27" s="44"/>
      <c r="M27" s="44"/>
      <c r="N27" s="44"/>
    </row>
    <row r="28" spans="1:14" ht="18.5" x14ac:dyDescent="0.45">
      <c r="A28" s="43" t="str">
        <f t="shared" si="0"/>
        <v/>
      </c>
      <c r="B28" s="44" t="str">
        <f t="shared" si="1"/>
        <v/>
      </c>
      <c r="C28" s="9" t="s">
        <v>142</v>
      </c>
      <c r="D28" t="s">
        <v>143</v>
      </c>
      <c r="E28" s="44"/>
      <c r="F28" s="71">
        <v>0</v>
      </c>
      <c r="G28" s="44"/>
      <c r="H28" s="44"/>
      <c r="I28" s="44"/>
      <c r="J28" s="44"/>
      <c r="K28" s="71">
        <v>0</v>
      </c>
      <c r="L28" s="44"/>
      <c r="M28" s="44"/>
      <c r="N28" s="44"/>
    </row>
    <row r="29" spans="1:14" ht="18.5" x14ac:dyDescent="0.45">
      <c r="A29" s="43" t="str">
        <f t="shared" si="0"/>
        <v/>
      </c>
      <c r="B29" s="44" t="str">
        <f t="shared" si="1"/>
        <v/>
      </c>
      <c r="C29" s="9" t="s">
        <v>123</v>
      </c>
      <c r="D29" t="s">
        <v>151</v>
      </c>
      <c r="E29" s="44"/>
      <c r="F29" s="71">
        <v>0</v>
      </c>
      <c r="G29" s="44"/>
      <c r="H29" s="44"/>
      <c r="I29" s="44"/>
      <c r="J29" s="44"/>
      <c r="K29" s="71">
        <v>0</v>
      </c>
      <c r="L29" s="44"/>
      <c r="M29" s="44"/>
      <c r="N29" s="44"/>
    </row>
    <row r="30" spans="1:14" ht="18.5" x14ac:dyDescent="0.45">
      <c r="A30" s="43" t="str">
        <f t="shared" si="0"/>
        <v/>
      </c>
      <c r="B30" s="44" t="str">
        <f t="shared" si="1"/>
        <v/>
      </c>
      <c r="C30" s="9" t="s">
        <v>182</v>
      </c>
      <c r="D30" t="s">
        <v>183</v>
      </c>
      <c r="E30" s="44"/>
      <c r="F30" s="71">
        <v>0</v>
      </c>
      <c r="G30" s="44"/>
      <c r="H30" s="44"/>
      <c r="I30" s="44"/>
      <c r="J30" s="44"/>
      <c r="K30" s="71">
        <v>0</v>
      </c>
      <c r="L30" s="44"/>
      <c r="M30" s="44"/>
      <c r="N30" s="44"/>
    </row>
    <row r="31" spans="1:14" ht="18.5" x14ac:dyDescent="0.45">
      <c r="A31" s="43" t="str">
        <f t="shared" si="0"/>
        <v/>
      </c>
      <c r="B31" s="44" t="str">
        <f t="shared" si="1"/>
        <v/>
      </c>
      <c r="C31" s="9" t="s">
        <v>248</v>
      </c>
      <c r="D31" t="s">
        <v>249</v>
      </c>
      <c r="E31" s="44"/>
      <c r="F31" s="71">
        <v>0</v>
      </c>
      <c r="G31" s="44"/>
      <c r="H31" s="44"/>
      <c r="I31" s="44"/>
      <c r="J31" s="44"/>
      <c r="K31" s="71">
        <v>0</v>
      </c>
      <c r="L31" s="44"/>
      <c r="M31" s="44"/>
      <c r="N31" s="44"/>
    </row>
    <row r="32" spans="1:14" ht="18.5" x14ac:dyDescent="0.45">
      <c r="A32" s="43" t="str">
        <f t="shared" si="0"/>
        <v/>
      </c>
      <c r="B32" s="44" t="str">
        <f t="shared" si="1"/>
        <v/>
      </c>
      <c r="C32" s="9" t="s">
        <v>261</v>
      </c>
      <c r="D32" t="s">
        <v>262</v>
      </c>
      <c r="E32" s="44"/>
      <c r="F32" s="71">
        <v>0</v>
      </c>
      <c r="G32" s="44"/>
      <c r="H32" s="44"/>
      <c r="I32" s="44"/>
      <c r="J32" s="44"/>
      <c r="K32" s="71">
        <v>0</v>
      </c>
      <c r="L32" s="44"/>
      <c r="M32" s="44"/>
      <c r="N32" s="44"/>
    </row>
    <row r="33" spans="1:14" ht="18.5" x14ac:dyDescent="0.45">
      <c r="A33" s="43" t="str">
        <f t="shared" si="0"/>
        <v/>
      </c>
      <c r="B33" s="44" t="str">
        <f t="shared" si="1"/>
        <v/>
      </c>
      <c r="C33" s="9" t="s">
        <v>285</v>
      </c>
      <c r="D33" t="s">
        <v>286</v>
      </c>
      <c r="E33" s="44"/>
      <c r="F33" s="71">
        <v>0</v>
      </c>
      <c r="G33" s="44"/>
      <c r="H33" s="44"/>
      <c r="I33" s="44"/>
      <c r="J33" s="44"/>
      <c r="K33" s="71">
        <v>0</v>
      </c>
      <c r="L33" s="44"/>
      <c r="M33" s="44"/>
      <c r="N33" s="44"/>
    </row>
    <row r="34" spans="1:14" ht="18.5" x14ac:dyDescent="0.45">
      <c r="A34" s="43" t="str">
        <f t="shared" si="0"/>
        <v/>
      </c>
      <c r="B34" s="44" t="str">
        <f t="shared" si="1"/>
        <v/>
      </c>
      <c r="C34" s="9" t="s">
        <v>288</v>
      </c>
      <c r="D34" t="s">
        <v>289</v>
      </c>
      <c r="E34" s="44"/>
      <c r="F34" s="71">
        <v>0</v>
      </c>
      <c r="G34" s="44"/>
      <c r="H34" s="44"/>
      <c r="I34" s="44"/>
      <c r="J34" s="44"/>
      <c r="K34" s="71">
        <v>0</v>
      </c>
      <c r="L34" s="44"/>
      <c r="M34" s="44"/>
      <c r="N34" s="44"/>
    </row>
    <row r="35" spans="1:14" ht="18.5" x14ac:dyDescent="0.45">
      <c r="A35" s="43" t="str">
        <f t="shared" si="0"/>
        <v/>
      </c>
      <c r="B35" s="44" t="str">
        <f t="shared" si="1"/>
        <v/>
      </c>
      <c r="C35" s="9" t="s">
        <v>312</v>
      </c>
      <c r="D35" t="s">
        <v>313</v>
      </c>
      <c r="E35" s="44"/>
      <c r="F35" s="71">
        <v>0</v>
      </c>
      <c r="G35" s="44"/>
      <c r="H35" s="44"/>
      <c r="I35" s="44"/>
      <c r="J35" s="44"/>
      <c r="K35" s="71">
        <v>0</v>
      </c>
      <c r="L35" s="44"/>
      <c r="M35" s="44"/>
      <c r="N35" s="44"/>
    </row>
    <row r="36" spans="1:14" ht="18.5" x14ac:dyDescent="0.45">
      <c r="A36" s="43" t="str">
        <f t="shared" si="0"/>
        <v/>
      </c>
      <c r="B36" s="44" t="str">
        <f t="shared" si="1"/>
        <v/>
      </c>
      <c r="C36" s="9" t="s">
        <v>306</v>
      </c>
      <c r="D36" t="s">
        <v>305</v>
      </c>
      <c r="E36" s="44"/>
      <c r="F36" s="71">
        <v>0</v>
      </c>
      <c r="G36" s="44"/>
      <c r="H36" s="44"/>
      <c r="I36" s="44"/>
      <c r="J36" s="44"/>
      <c r="K36" s="71">
        <v>0</v>
      </c>
      <c r="L36" s="44"/>
      <c r="M36" s="44"/>
      <c r="N36" s="44"/>
    </row>
    <row r="37" spans="1:14" ht="18.5" x14ac:dyDescent="0.45">
      <c r="A37" s="43" t="str">
        <f t="shared" si="0"/>
        <v/>
      </c>
      <c r="B37" s="44" t="str">
        <f t="shared" si="1"/>
        <v/>
      </c>
      <c r="C37" s="9" t="s">
        <v>375</v>
      </c>
      <c r="D37" t="s">
        <v>429</v>
      </c>
      <c r="E37" s="44"/>
      <c r="F37" s="71">
        <v>0</v>
      </c>
      <c r="G37" s="44"/>
      <c r="H37" s="44"/>
      <c r="I37" s="44"/>
      <c r="J37" s="44"/>
      <c r="K37" s="71">
        <v>0</v>
      </c>
      <c r="L37" s="44"/>
      <c r="M37" s="44"/>
      <c r="N37" s="44"/>
    </row>
    <row r="38" spans="1:14" ht="18.5" x14ac:dyDescent="0.45">
      <c r="A38" s="43" t="str">
        <f t="shared" si="0"/>
        <v/>
      </c>
      <c r="B38" s="44" t="str">
        <f t="shared" si="1"/>
        <v/>
      </c>
      <c r="C38" s="9" t="s">
        <v>560</v>
      </c>
      <c r="D38" t="s">
        <v>561</v>
      </c>
      <c r="E38" s="44"/>
      <c r="F38" s="71">
        <v>0</v>
      </c>
      <c r="G38" s="44"/>
      <c r="H38" s="44"/>
      <c r="I38" s="44"/>
      <c r="J38" s="44"/>
      <c r="K38" s="71">
        <v>0</v>
      </c>
      <c r="L38" s="44"/>
      <c r="M38" s="44"/>
      <c r="N38" s="44"/>
    </row>
    <row r="39" spans="1:14" ht="18.5" x14ac:dyDescent="0.45">
      <c r="A39" s="43" t="str">
        <f t="shared" si="0"/>
        <v/>
      </c>
      <c r="B39" s="44" t="str">
        <f t="shared" si="1"/>
        <v/>
      </c>
      <c r="C39" s="9" t="s">
        <v>582</v>
      </c>
      <c r="D39" t="s">
        <v>610</v>
      </c>
      <c r="E39" s="44"/>
      <c r="F39" s="71">
        <v>0</v>
      </c>
      <c r="G39" s="44"/>
      <c r="H39" s="44"/>
      <c r="I39" s="44"/>
      <c r="J39" s="44"/>
      <c r="K39" s="71">
        <v>0</v>
      </c>
      <c r="L39" s="44"/>
      <c r="M39" s="44"/>
      <c r="N39" s="44"/>
    </row>
    <row r="40" spans="1:14" ht="18.5" x14ac:dyDescent="0.45">
      <c r="A40" s="43" t="str">
        <f t="shared" si="0"/>
        <v/>
      </c>
      <c r="B40" s="44" t="str">
        <f t="shared" si="1"/>
        <v/>
      </c>
      <c r="C40" s="9" t="s">
        <v>641</v>
      </c>
      <c r="D40" t="s">
        <v>642</v>
      </c>
      <c r="E40" s="44"/>
      <c r="F40" s="71">
        <v>0</v>
      </c>
      <c r="G40" s="44"/>
      <c r="H40" s="44"/>
      <c r="I40" s="44"/>
      <c r="J40" s="44"/>
      <c r="K40" s="71">
        <v>0</v>
      </c>
      <c r="L40" s="44"/>
      <c r="M40" s="44"/>
      <c r="N40" s="44"/>
    </row>
    <row r="41" spans="1:14" ht="18.5" x14ac:dyDescent="0.45">
      <c r="A41" s="43" t="str">
        <f t="shared" si="0"/>
        <v/>
      </c>
      <c r="B41" s="44" t="str">
        <f t="shared" si="1"/>
        <v/>
      </c>
      <c r="C41" s="9" t="s">
        <v>659</v>
      </c>
      <c r="D41" t="s">
        <v>661</v>
      </c>
      <c r="E41" s="44"/>
      <c r="F41" s="71">
        <v>0</v>
      </c>
      <c r="G41" s="44"/>
      <c r="H41" s="44"/>
      <c r="I41" s="44"/>
      <c r="J41" s="44"/>
      <c r="K41" s="71">
        <v>0</v>
      </c>
      <c r="L41" s="44"/>
      <c r="M41" s="44"/>
      <c r="N41" s="44"/>
    </row>
    <row r="42" spans="1:14" ht="18.5" x14ac:dyDescent="0.45">
      <c r="A42" s="43" t="s">
        <v>755</v>
      </c>
      <c r="B42" s="44" t="s">
        <v>755</v>
      </c>
      <c r="C42" s="9" t="s">
        <v>674</v>
      </c>
      <c r="D42" t="s">
        <v>675</v>
      </c>
      <c r="E42" s="44"/>
      <c r="F42" s="71">
        <v>0</v>
      </c>
      <c r="G42" s="44"/>
      <c r="H42" s="44"/>
      <c r="I42" s="44"/>
      <c r="J42" s="44"/>
      <c r="K42" s="44"/>
      <c r="L42" s="44"/>
      <c r="M42" s="44"/>
      <c r="N42" s="44"/>
    </row>
    <row r="43" spans="1:14" x14ac:dyDescent="0.35">
      <c r="A43" s="43" t="s">
        <v>755</v>
      </c>
      <c r="B43" s="44" t="s">
        <v>755</v>
      </c>
      <c r="C43" t="s">
        <v>1031</v>
      </c>
      <c r="D43" t="s">
        <v>1032</v>
      </c>
      <c r="E43" s="44"/>
      <c r="F43" s="44">
        <v>0</v>
      </c>
      <c r="G43" s="44"/>
      <c r="H43" s="44"/>
      <c r="I43" s="44"/>
      <c r="J43" s="44"/>
      <c r="K43" s="44"/>
      <c r="L43" s="44"/>
      <c r="M43" s="44"/>
      <c r="N43" s="44"/>
    </row>
    <row r="44" spans="1:14" x14ac:dyDescent="0.35">
      <c r="A44" s="43" t="s">
        <v>755</v>
      </c>
      <c r="B44" s="44" t="s">
        <v>755</v>
      </c>
      <c r="E44" s="44"/>
      <c r="F44" s="44"/>
      <c r="G44" s="44"/>
      <c r="H44" s="44"/>
      <c r="I44" s="44"/>
      <c r="J44" s="44"/>
      <c r="K44" s="44"/>
      <c r="L44" s="44"/>
      <c r="M44" s="44"/>
      <c r="N44" s="44"/>
    </row>
    <row r="45" spans="1:14" x14ac:dyDescent="0.35">
      <c r="A45" s="43" t="s">
        <v>755</v>
      </c>
      <c r="B45" s="44" t="s">
        <v>755</v>
      </c>
      <c r="E45" s="44"/>
      <c r="F45" s="44"/>
      <c r="G45" s="44"/>
      <c r="H45" s="44"/>
      <c r="I45" s="44"/>
      <c r="J45" s="44"/>
      <c r="K45" s="44"/>
      <c r="L45" s="44"/>
      <c r="M45" s="44"/>
      <c r="N45" s="44"/>
    </row>
    <row r="46" spans="1:14" x14ac:dyDescent="0.35">
      <c r="A46" s="43" t="s">
        <v>755</v>
      </c>
      <c r="B46" s="44" t="s">
        <v>755</v>
      </c>
      <c r="E46" s="44"/>
      <c r="F46" s="44"/>
      <c r="G46" s="44"/>
      <c r="H46" s="44"/>
      <c r="I46" s="44"/>
      <c r="J46" s="44"/>
      <c r="K46" s="44"/>
      <c r="L46" s="44"/>
      <c r="M46" s="44"/>
      <c r="N46" s="44"/>
    </row>
    <row r="47" spans="1:14" x14ac:dyDescent="0.35">
      <c r="A47" s="43" t="s">
        <v>755</v>
      </c>
      <c r="B47" s="44" t="s">
        <v>755</v>
      </c>
      <c r="E47" s="44"/>
      <c r="F47" s="44"/>
      <c r="G47" s="44"/>
      <c r="H47" s="44"/>
      <c r="I47" s="44"/>
      <c r="J47" s="44"/>
      <c r="K47" s="44"/>
      <c r="L47" s="44"/>
      <c r="M47" s="44"/>
      <c r="N47" s="44"/>
    </row>
    <row r="48" spans="1:14" x14ac:dyDescent="0.35">
      <c r="A48" s="43" t="s">
        <v>755</v>
      </c>
      <c r="B48" s="44" t="s">
        <v>755</v>
      </c>
      <c r="E48" s="44"/>
      <c r="F48" s="44"/>
      <c r="G48" s="44"/>
      <c r="H48" s="44"/>
      <c r="I48" s="44"/>
      <c r="J48" s="44"/>
      <c r="K48" s="44"/>
      <c r="L48" s="44"/>
      <c r="M48" s="44"/>
      <c r="N48" s="44"/>
    </row>
    <row r="49" spans="1:14" x14ac:dyDescent="0.35">
      <c r="A49" s="43" t="s">
        <v>755</v>
      </c>
      <c r="B49" s="44" t="s">
        <v>755</v>
      </c>
      <c r="E49" s="44"/>
      <c r="F49" s="44"/>
      <c r="G49" s="44"/>
      <c r="H49" s="44"/>
      <c r="I49" s="44"/>
      <c r="J49" s="44"/>
      <c r="K49" s="44"/>
      <c r="L49" s="44"/>
      <c r="M49" s="44"/>
      <c r="N49" s="44"/>
    </row>
    <row r="50" spans="1:14" x14ac:dyDescent="0.35">
      <c r="A50" s="43" t="s">
        <v>755</v>
      </c>
      <c r="B50" s="44" t="s">
        <v>755</v>
      </c>
      <c r="E50" s="44"/>
      <c r="F50" s="44"/>
      <c r="G50" s="44"/>
      <c r="H50" s="44"/>
      <c r="I50" s="44"/>
      <c r="J50" s="44"/>
      <c r="K50" s="44"/>
      <c r="L50" s="44"/>
      <c r="M50" s="44"/>
      <c r="N50" s="44"/>
    </row>
    <row r="51" spans="1:14" x14ac:dyDescent="0.35">
      <c r="A51" s="43" t="s">
        <v>755</v>
      </c>
      <c r="B51" s="44" t="s">
        <v>755</v>
      </c>
      <c r="E51" s="44"/>
      <c r="F51" s="44"/>
      <c r="G51" s="44"/>
      <c r="H51" s="44"/>
      <c r="I51" s="44"/>
      <c r="J51" s="44"/>
      <c r="K51" s="44"/>
      <c r="L51" s="44"/>
      <c r="M51" s="44"/>
      <c r="N51" s="44"/>
    </row>
    <row r="52" spans="1:14" x14ac:dyDescent="0.35">
      <c r="A52" s="43" t="s">
        <v>755</v>
      </c>
      <c r="B52" s="44" t="s">
        <v>755</v>
      </c>
      <c r="E52" s="44"/>
      <c r="F52" s="44"/>
      <c r="G52" s="44"/>
      <c r="H52" s="44"/>
      <c r="I52" s="44"/>
      <c r="J52" s="44"/>
      <c r="K52" s="44"/>
      <c r="L52" s="44"/>
      <c r="M52" s="44"/>
      <c r="N52" s="44"/>
    </row>
    <row r="53" spans="1:14" x14ac:dyDescent="0.35">
      <c r="A53" s="43" t="s">
        <v>755</v>
      </c>
      <c r="B53" s="44" t="s">
        <v>755</v>
      </c>
      <c r="E53" s="44"/>
      <c r="F53" s="44"/>
      <c r="G53" s="44"/>
      <c r="H53" s="44"/>
      <c r="I53" s="44"/>
      <c r="J53" s="44"/>
      <c r="K53" s="44"/>
      <c r="L53" s="44"/>
      <c r="M53" s="44"/>
      <c r="N53" s="44"/>
    </row>
    <row r="54" spans="1:14" x14ac:dyDescent="0.35">
      <c r="A54" s="43" t="s">
        <v>755</v>
      </c>
      <c r="B54" s="44" t="s">
        <v>755</v>
      </c>
      <c r="E54" s="44"/>
      <c r="F54" s="44"/>
      <c r="G54" s="44"/>
      <c r="H54" s="44"/>
      <c r="I54" s="44"/>
      <c r="J54" s="44"/>
      <c r="K54" s="44"/>
      <c r="L54" s="44"/>
      <c r="M54" s="44"/>
      <c r="N54" s="44"/>
    </row>
    <row r="55" spans="1:14" x14ac:dyDescent="0.35">
      <c r="A55" s="43" t="s">
        <v>755</v>
      </c>
      <c r="B55" s="44" t="s">
        <v>755</v>
      </c>
      <c r="E55" s="44"/>
      <c r="F55" s="44"/>
      <c r="G55" s="44"/>
      <c r="H55" s="44"/>
      <c r="I55" s="44"/>
      <c r="J55" s="44"/>
      <c r="K55" s="44"/>
      <c r="L55" s="44"/>
      <c r="M55" s="44"/>
      <c r="N55" s="44"/>
    </row>
    <row r="56" spans="1:14" x14ac:dyDescent="0.35">
      <c r="A56" s="43" t="s">
        <v>755</v>
      </c>
      <c r="B56" s="44" t="s">
        <v>755</v>
      </c>
      <c r="E56" s="44"/>
      <c r="F56" s="44"/>
      <c r="G56" s="44"/>
      <c r="H56" s="44"/>
      <c r="I56" s="44"/>
      <c r="J56" s="44"/>
      <c r="K56" s="44"/>
      <c r="L56" s="44"/>
      <c r="M56" s="44"/>
      <c r="N56" s="44"/>
    </row>
    <row r="57" spans="1:14" x14ac:dyDescent="0.35">
      <c r="A57" s="43" t="s">
        <v>755</v>
      </c>
      <c r="B57" s="44" t="s">
        <v>755</v>
      </c>
      <c r="E57" s="44"/>
      <c r="F57" s="44"/>
      <c r="G57" s="44"/>
      <c r="H57" s="44"/>
      <c r="I57" s="44"/>
      <c r="J57" s="44"/>
      <c r="K57" s="44"/>
      <c r="L57" s="44"/>
      <c r="M57" s="44"/>
      <c r="N57" s="44"/>
    </row>
    <row r="58" spans="1:14" x14ac:dyDescent="0.35">
      <c r="A58" s="43" t="s">
        <v>755</v>
      </c>
      <c r="B58" s="44" t="s">
        <v>755</v>
      </c>
      <c r="E58" s="44"/>
      <c r="F58" s="44"/>
      <c r="G58" s="44"/>
      <c r="H58" s="44"/>
      <c r="I58" s="44"/>
      <c r="J58" s="44"/>
      <c r="K58" s="44"/>
      <c r="L58" s="44"/>
      <c r="M58" s="44"/>
      <c r="N58" s="44"/>
    </row>
    <row r="59" spans="1:14" x14ac:dyDescent="0.35">
      <c r="A59" s="43" t="s">
        <v>755</v>
      </c>
      <c r="B59" s="44" t="s">
        <v>755</v>
      </c>
      <c r="E59" s="44"/>
      <c r="F59" s="44"/>
      <c r="G59" s="44"/>
      <c r="H59" s="44"/>
      <c r="I59" s="44"/>
      <c r="J59" s="44"/>
      <c r="K59" s="44"/>
      <c r="L59" s="44"/>
      <c r="M59" s="44"/>
      <c r="N59" s="44"/>
    </row>
    <row r="60" spans="1:14" x14ac:dyDescent="0.35">
      <c r="A60" s="43" t="s">
        <v>755</v>
      </c>
      <c r="B60" s="44" t="s">
        <v>755</v>
      </c>
      <c r="E60" s="44"/>
      <c r="F60" s="44"/>
      <c r="G60" s="44"/>
      <c r="H60" s="44"/>
      <c r="I60" s="44"/>
      <c r="J60" s="44"/>
      <c r="K60" s="44"/>
      <c r="L60" s="44"/>
      <c r="M60" s="44"/>
      <c r="N60" s="44"/>
    </row>
    <row r="61" spans="1:14" x14ac:dyDescent="0.35">
      <c r="A61" s="43" t="s">
        <v>755</v>
      </c>
      <c r="B61" s="44" t="s">
        <v>755</v>
      </c>
      <c r="E61" s="44"/>
      <c r="F61" s="44"/>
      <c r="G61" s="44"/>
      <c r="H61" s="44"/>
      <c r="I61" s="44"/>
      <c r="J61" s="44"/>
      <c r="K61" s="44"/>
      <c r="L61" s="44"/>
      <c r="M61" s="44"/>
      <c r="N61" s="44"/>
    </row>
    <row r="62" spans="1:14" x14ac:dyDescent="0.35">
      <c r="A62" s="43" t="s">
        <v>755</v>
      </c>
      <c r="B62" s="44" t="s">
        <v>755</v>
      </c>
      <c r="E62" s="44"/>
      <c r="F62" s="44"/>
      <c r="G62" s="44"/>
      <c r="H62" s="44"/>
      <c r="I62" s="44"/>
      <c r="J62" s="44"/>
      <c r="K62" s="44"/>
      <c r="L62" s="44"/>
      <c r="M62" s="44"/>
      <c r="N62" s="44"/>
    </row>
    <row r="63" spans="1:14" x14ac:dyDescent="0.35">
      <c r="A63" s="43" t="s">
        <v>755</v>
      </c>
      <c r="B63" s="44" t="s">
        <v>755</v>
      </c>
      <c r="E63" s="44"/>
      <c r="F63" s="44"/>
      <c r="G63" s="44"/>
      <c r="H63" s="44"/>
      <c r="I63" s="44"/>
      <c r="J63" s="44"/>
      <c r="K63" s="44"/>
      <c r="L63" s="44"/>
      <c r="M63" s="44"/>
      <c r="N63" s="44"/>
    </row>
    <row r="64" spans="1:14" x14ac:dyDescent="0.35">
      <c r="A64" s="43" t="s">
        <v>755</v>
      </c>
      <c r="B64" s="44" t="s">
        <v>755</v>
      </c>
      <c r="E64" s="44"/>
      <c r="F64" s="44"/>
      <c r="G64" s="44"/>
      <c r="H64" s="44"/>
      <c r="I64" s="44"/>
      <c r="J64" s="44"/>
      <c r="K64" s="44"/>
      <c r="L64" s="44"/>
      <c r="M64" s="44"/>
      <c r="N64" s="44"/>
    </row>
    <row r="65" spans="1:14" x14ac:dyDescent="0.35">
      <c r="A65" s="43" t="s">
        <v>755</v>
      </c>
      <c r="B65" s="44" t="s">
        <v>755</v>
      </c>
      <c r="E65" s="44"/>
      <c r="F65" s="44"/>
      <c r="G65" s="44"/>
      <c r="H65" s="44"/>
      <c r="I65" s="44"/>
      <c r="J65" s="44"/>
      <c r="K65" s="44"/>
      <c r="L65" s="44"/>
      <c r="M65" s="44"/>
      <c r="N65" s="44"/>
    </row>
    <row r="66" spans="1:14" x14ac:dyDescent="0.35">
      <c r="A66" s="43" t="s">
        <v>755</v>
      </c>
      <c r="B66" s="44" t="s">
        <v>755</v>
      </c>
      <c r="E66" s="44"/>
      <c r="F66" s="44"/>
      <c r="G66" s="44"/>
      <c r="H66" s="44"/>
      <c r="I66" s="44"/>
      <c r="J66" s="44"/>
      <c r="K66" s="44"/>
      <c r="L66" s="44"/>
      <c r="M66" s="44"/>
      <c r="N66" s="44"/>
    </row>
    <row r="67" spans="1:14" x14ac:dyDescent="0.35">
      <c r="A67" s="43" t="s">
        <v>755</v>
      </c>
      <c r="B67" s="44" t="s">
        <v>755</v>
      </c>
      <c r="E67" s="44"/>
      <c r="F67" s="44"/>
      <c r="G67" s="44"/>
      <c r="H67" s="44"/>
      <c r="I67" s="44"/>
      <c r="J67" s="44"/>
      <c r="K67" s="44"/>
      <c r="L67" s="44"/>
      <c r="M67" s="44"/>
      <c r="N67" s="44"/>
    </row>
    <row r="68" spans="1:14" x14ac:dyDescent="0.35">
      <c r="A68" s="43" t="s">
        <v>755</v>
      </c>
      <c r="B68" s="44" t="s">
        <v>755</v>
      </c>
      <c r="E68" s="44"/>
      <c r="F68" s="44"/>
      <c r="G68" s="44"/>
      <c r="H68" s="44"/>
      <c r="I68" s="44"/>
      <c r="J68" s="44"/>
      <c r="K68" s="44"/>
      <c r="L68" s="44"/>
      <c r="M68" s="44"/>
      <c r="N68" s="44"/>
    </row>
    <row r="69" spans="1:14" x14ac:dyDescent="0.35">
      <c r="A69" s="43" t="s">
        <v>755</v>
      </c>
      <c r="B69" s="44" t="s">
        <v>755</v>
      </c>
      <c r="E69" s="44"/>
      <c r="F69" s="44"/>
      <c r="G69" s="44"/>
      <c r="H69" s="44"/>
      <c r="I69" s="44"/>
      <c r="J69" s="44"/>
      <c r="K69" s="44"/>
      <c r="L69" s="44"/>
      <c r="M69" s="44"/>
      <c r="N69" s="44"/>
    </row>
    <row r="70" spans="1:14" x14ac:dyDescent="0.35">
      <c r="A70" s="43" t="s">
        <v>755</v>
      </c>
      <c r="B70" s="44" t="s">
        <v>755</v>
      </c>
      <c r="E70" s="44"/>
      <c r="F70" s="44"/>
      <c r="G70" s="44"/>
      <c r="H70" s="44"/>
      <c r="I70" s="44"/>
      <c r="J70" s="44"/>
      <c r="K70" s="44"/>
      <c r="L70" s="44"/>
      <c r="M70" s="44"/>
      <c r="N70" s="44"/>
    </row>
    <row r="71" spans="1:14" x14ac:dyDescent="0.35">
      <c r="A71" s="43" t="s">
        <v>755</v>
      </c>
      <c r="B71" s="44" t="s">
        <v>755</v>
      </c>
      <c r="E71" s="44"/>
      <c r="F71" s="44"/>
      <c r="G71" s="44"/>
      <c r="H71" s="44"/>
      <c r="I71" s="44"/>
      <c r="J71" s="44"/>
      <c r="K71" s="44"/>
      <c r="L71" s="44"/>
      <c r="M71" s="44"/>
      <c r="N71" s="44"/>
    </row>
    <row r="72" spans="1:14" x14ac:dyDescent="0.35">
      <c r="A72" s="43" t="s">
        <v>755</v>
      </c>
      <c r="B72" s="44" t="s">
        <v>755</v>
      </c>
      <c r="E72" s="44"/>
      <c r="F72" s="44"/>
      <c r="G72" s="44"/>
      <c r="H72" s="44"/>
      <c r="I72" s="44"/>
      <c r="J72" s="44"/>
      <c r="K72" s="44"/>
      <c r="L72" s="44"/>
      <c r="M72" s="44"/>
      <c r="N72" s="44"/>
    </row>
    <row r="73" spans="1:14" x14ac:dyDescent="0.35">
      <c r="A73" s="43" t="s">
        <v>755</v>
      </c>
      <c r="B73" s="44" t="s">
        <v>755</v>
      </c>
      <c r="E73" s="44"/>
      <c r="F73" s="44"/>
      <c r="G73" s="44"/>
      <c r="H73" s="44"/>
      <c r="I73" s="44"/>
      <c r="J73" s="44"/>
      <c r="K73" s="44"/>
      <c r="L73" s="44"/>
      <c r="M73" s="44"/>
      <c r="N73" s="44"/>
    </row>
    <row r="74" spans="1:14" x14ac:dyDescent="0.35">
      <c r="A74" s="43" t="s">
        <v>755</v>
      </c>
      <c r="B74" s="44" t="s">
        <v>755</v>
      </c>
      <c r="E74" s="44"/>
      <c r="F74" s="44"/>
      <c r="G74" s="44"/>
      <c r="H74" s="44"/>
      <c r="I74" s="44"/>
      <c r="J74" s="44"/>
      <c r="K74" s="44"/>
      <c r="L74" s="44"/>
      <c r="M74" s="44"/>
      <c r="N74" s="44"/>
    </row>
    <row r="75" spans="1:14" x14ac:dyDescent="0.35">
      <c r="A75" s="43" t="s">
        <v>755</v>
      </c>
      <c r="B75" s="44" t="s">
        <v>755</v>
      </c>
      <c r="E75" s="44"/>
      <c r="F75" s="44"/>
      <c r="G75" s="44"/>
      <c r="H75" s="44"/>
      <c r="I75" s="44"/>
      <c r="J75" s="44"/>
      <c r="K75" s="44"/>
      <c r="L75" s="44"/>
      <c r="M75" s="44"/>
      <c r="N75" s="44"/>
    </row>
    <row r="76" spans="1:14" x14ac:dyDescent="0.35">
      <c r="A76" s="43" t="s">
        <v>755</v>
      </c>
      <c r="B76" s="44" t="s">
        <v>755</v>
      </c>
      <c r="E76" s="44"/>
      <c r="F76" s="44"/>
      <c r="G76" s="44"/>
      <c r="H76" s="44"/>
      <c r="I76" s="44"/>
      <c r="J76" s="44"/>
      <c r="K76" s="44"/>
      <c r="L76" s="44"/>
      <c r="M76" s="44"/>
      <c r="N76" s="44"/>
    </row>
    <row r="77" spans="1:14" x14ac:dyDescent="0.35">
      <c r="A77" s="43" t="s">
        <v>755</v>
      </c>
      <c r="B77" s="44" t="s">
        <v>755</v>
      </c>
      <c r="E77" s="44"/>
      <c r="F77" s="44"/>
      <c r="G77" s="44"/>
      <c r="H77" s="44"/>
      <c r="I77" s="44"/>
      <c r="J77" s="44"/>
      <c r="K77" s="44"/>
      <c r="L77" s="44"/>
      <c r="M77" s="44"/>
      <c r="N77" s="44"/>
    </row>
    <row r="78" spans="1:14" x14ac:dyDescent="0.35">
      <c r="A78" s="43" t="s">
        <v>755</v>
      </c>
      <c r="B78" s="44" t="s">
        <v>755</v>
      </c>
      <c r="E78" s="44"/>
      <c r="F78" s="44"/>
      <c r="G78" s="44"/>
      <c r="H78" s="44"/>
      <c r="I78" s="44"/>
      <c r="J78" s="44"/>
      <c r="K78" s="44"/>
      <c r="L78" s="44"/>
      <c r="M78" s="44"/>
      <c r="N78" s="44"/>
    </row>
    <row r="79" spans="1:14" x14ac:dyDescent="0.35">
      <c r="A79" s="43" t="s">
        <v>755</v>
      </c>
      <c r="B79" s="44" t="s">
        <v>755</v>
      </c>
      <c r="E79" s="44"/>
      <c r="F79" s="44"/>
      <c r="G79" s="44"/>
      <c r="H79" s="44"/>
      <c r="I79" s="44"/>
      <c r="J79" s="44"/>
      <c r="K79" s="44"/>
      <c r="L79" s="44"/>
      <c r="M79" s="44"/>
      <c r="N79" s="44"/>
    </row>
    <row r="80" spans="1:14" x14ac:dyDescent="0.35">
      <c r="A80" s="43" t="s">
        <v>755</v>
      </c>
      <c r="B80" s="44" t="s">
        <v>755</v>
      </c>
      <c r="E80" s="44"/>
      <c r="F80" s="44"/>
      <c r="G80" s="44"/>
      <c r="H80" s="44"/>
      <c r="I80" s="44"/>
      <c r="J80" s="44"/>
      <c r="K80" s="44"/>
      <c r="L80" s="44"/>
      <c r="M80" s="44"/>
      <c r="N80" s="44"/>
    </row>
    <row r="81" spans="1:14" x14ac:dyDescent="0.35">
      <c r="A81" s="43" t="s">
        <v>755</v>
      </c>
      <c r="B81" s="44" t="s">
        <v>755</v>
      </c>
      <c r="E81" s="44"/>
      <c r="F81" s="44"/>
      <c r="G81" s="44"/>
      <c r="H81" s="44"/>
      <c r="I81" s="44"/>
      <c r="J81" s="44"/>
      <c r="K81" s="44"/>
      <c r="L81" s="44"/>
      <c r="M81" s="44"/>
      <c r="N81" s="44"/>
    </row>
    <row r="82" spans="1:14" x14ac:dyDescent="0.35">
      <c r="A82" s="43" t="s">
        <v>755</v>
      </c>
      <c r="B82" s="44" t="s">
        <v>755</v>
      </c>
      <c r="E82" s="44"/>
      <c r="F82" s="44"/>
      <c r="G82" s="44"/>
      <c r="H82" s="44"/>
      <c r="I82" s="44"/>
      <c r="J82" s="44"/>
      <c r="K82" s="44"/>
      <c r="L82" s="44"/>
      <c r="M82" s="44"/>
      <c r="N82" s="44"/>
    </row>
    <row r="83" spans="1:14" x14ac:dyDescent="0.35">
      <c r="A83" s="43" t="s">
        <v>755</v>
      </c>
      <c r="B83" s="44" t="s">
        <v>755</v>
      </c>
      <c r="E83" s="44"/>
      <c r="F83" s="44"/>
      <c r="G83" s="44"/>
      <c r="H83" s="44"/>
      <c r="I83" s="44"/>
      <c r="J83" s="44"/>
      <c r="K83" s="44"/>
      <c r="L83" s="44"/>
      <c r="M83" s="44"/>
      <c r="N83" s="44"/>
    </row>
    <row r="84" spans="1:14" x14ac:dyDescent="0.35">
      <c r="A84" s="43" t="s">
        <v>755</v>
      </c>
      <c r="B84" s="44" t="s">
        <v>755</v>
      </c>
      <c r="E84" s="44"/>
      <c r="F84" s="44"/>
      <c r="G84" s="44"/>
      <c r="H84" s="44"/>
      <c r="I84" s="44"/>
      <c r="J84" s="44"/>
      <c r="K84" s="44"/>
      <c r="L84" s="44"/>
      <c r="M84" s="44"/>
      <c r="N84" s="44"/>
    </row>
    <row r="85" spans="1:14" x14ac:dyDescent="0.35">
      <c r="A85" s="43" t="s">
        <v>755</v>
      </c>
      <c r="B85" s="44" t="s">
        <v>755</v>
      </c>
      <c r="E85" s="44"/>
      <c r="F85" s="44"/>
      <c r="G85" s="44"/>
      <c r="H85" s="44"/>
      <c r="I85" s="44"/>
      <c r="J85" s="44"/>
      <c r="K85" s="44"/>
      <c r="L85" s="44"/>
      <c r="M85" s="44"/>
      <c r="N85" s="44"/>
    </row>
    <row r="86" spans="1:14" x14ac:dyDescent="0.35">
      <c r="A86" s="43" t="s">
        <v>755</v>
      </c>
      <c r="B86" s="44" t="s">
        <v>755</v>
      </c>
      <c r="E86" s="44"/>
      <c r="F86" s="44"/>
      <c r="G86" s="44"/>
      <c r="H86" s="44"/>
      <c r="I86" s="44"/>
      <c r="J86" s="44"/>
      <c r="K86" s="44"/>
      <c r="L86" s="44"/>
      <c r="M86" s="44"/>
      <c r="N86" s="44"/>
    </row>
    <row r="87" spans="1:14" x14ac:dyDescent="0.35">
      <c r="A87" s="43" t="s">
        <v>755</v>
      </c>
      <c r="B87" s="44" t="s">
        <v>755</v>
      </c>
      <c r="E87" s="44"/>
      <c r="F87" s="44"/>
      <c r="G87" s="44"/>
      <c r="H87" s="44"/>
      <c r="I87" s="44"/>
      <c r="J87" s="44"/>
      <c r="K87" s="44"/>
      <c r="L87" s="44"/>
      <c r="M87" s="44"/>
      <c r="N87" s="44"/>
    </row>
    <row r="88" spans="1:14" x14ac:dyDescent="0.35">
      <c r="A88" s="43" t="s">
        <v>755</v>
      </c>
      <c r="B88" s="44" t="s">
        <v>755</v>
      </c>
      <c r="E88" s="70"/>
      <c r="F88" s="70"/>
      <c r="G88" s="70"/>
      <c r="H88" s="70"/>
      <c r="I88" s="70"/>
      <c r="J88" s="70"/>
      <c r="K88" s="70"/>
      <c r="L88" s="70"/>
      <c r="M88" s="70"/>
      <c r="N88" s="70"/>
    </row>
    <row r="89" spans="1:14" x14ac:dyDescent="0.35">
      <c r="A89" s="43" t="s">
        <v>755</v>
      </c>
      <c r="B89" s="44" t="s">
        <v>755</v>
      </c>
      <c r="E89" s="70"/>
      <c r="F89" s="70"/>
      <c r="G89" s="70"/>
      <c r="H89" s="70"/>
      <c r="I89" s="70"/>
      <c r="J89" s="70"/>
      <c r="K89" s="70"/>
      <c r="L89" s="70"/>
      <c r="M89" s="70"/>
      <c r="N89" s="70"/>
    </row>
    <row r="90" spans="1:14" x14ac:dyDescent="0.35">
      <c r="A90" s="43" t="s">
        <v>755</v>
      </c>
      <c r="B90" s="44" t="s">
        <v>755</v>
      </c>
      <c r="E90" s="70"/>
      <c r="F90" s="70"/>
      <c r="G90" s="70"/>
      <c r="H90" s="70"/>
      <c r="I90" s="70"/>
      <c r="J90" s="70"/>
      <c r="K90" s="70"/>
      <c r="L90" s="70"/>
      <c r="M90" s="70"/>
      <c r="N90" s="70"/>
    </row>
    <row r="91" spans="1:14" x14ac:dyDescent="0.35">
      <c r="A91" s="43" t="s">
        <v>755</v>
      </c>
      <c r="B91" s="44" t="s">
        <v>755</v>
      </c>
      <c r="E91" s="70"/>
      <c r="F91" s="70"/>
      <c r="G91" s="70"/>
      <c r="H91" s="70"/>
      <c r="I91" s="70"/>
      <c r="J91" s="70"/>
      <c r="K91" s="70"/>
      <c r="L91" s="70"/>
      <c r="M91" s="70"/>
      <c r="N91" s="70"/>
    </row>
    <row r="92" spans="1:14" x14ac:dyDescent="0.35">
      <c r="A92" s="43" t="s">
        <v>755</v>
      </c>
      <c r="B92" s="44" t="s">
        <v>755</v>
      </c>
      <c r="E92" s="70"/>
      <c r="F92" s="70"/>
      <c r="G92" s="70"/>
      <c r="H92" s="70"/>
      <c r="I92" s="70"/>
      <c r="J92" s="70"/>
      <c r="K92" s="70"/>
      <c r="L92" s="70"/>
      <c r="M92" s="70"/>
      <c r="N92" s="70"/>
    </row>
    <row r="93" spans="1:14" x14ac:dyDescent="0.35">
      <c r="A93" s="43" t="s">
        <v>755</v>
      </c>
      <c r="B93" s="44" t="s">
        <v>755</v>
      </c>
    </row>
    <row r="94" spans="1:14" x14ac:dyDescent="0.35">
      <c r="A94" s="43" t="s">
        <v>755</v>
      </c>
      <c r="B94" s="44" t="s">
        <v>755</v>
      </c>
    </row>
    <row r="95" spans="1:14" x14ac:dyDescent="0.35">
      <c r="A95" s="43" t="s">
        <v>755</v>
      </c>
      <c r="B95" s="44" t="s">
        <v>755</v>
      </c>
    </row>
    <row r="96" spans="1:14" x14ac:dyDescent="0.35">
      <c r="A96" s="43" t="s">
        <v>755</v>
      </c>
      <c r="B96" s="44" t="s">
        <v>755</v>
      </c>
    </row>
    <row r="97" spans="1:2" x14ac:dyDescent="0.35">
      <c r="A97" s="43" t="s">
        <v>755</v>
      </c>
      <c r="B97" s="44" t="s">
        <v>755</v>
      </c>
    </row>
    <row r="98" spans="1:2" x14ac:dyDescent="0.35">
      <c r="A98" s="43" t="s">
        <v>755</v>
      </c>
      <c r="B98" s="44" t="s">
        <v>755</v>
      </c>
    </row>
    <row r="99" spans="1:2" x14ac:dyDescent="0.35">
      <c r="A99" s="43" t="s">
        <v>755</v>
      </c>
      <c r="B99" s="44" t="s">
        <v>755</v>
      </c>
    </row>
    <row r="100" spans="1:2" x14ac:dyDescent="0.35">
      <c r="A100" s="43" t="s">
        <v>755</v>
      </c>
      <c r="B100" s="44" t="s">
        <v>755</v>
      </c>
    </row>
    <row r="101" spans="1:2" x14ac:dyDescent="0.35">
      <c r="A101" s="43" t="s">
        <v>755</v>
      </c>
      <c r="B101" s="44" t="s">
        <v>755</v>
      </c>
    </row>
    <row r="102" spans="1:2" x14ac:dyDescent="0.35">
      <c r="A102" s="43" t="s">
        <v>755</v>
      </c>
      <c r="B102" s="44" t="s">
        <v>755</v>
      </c>
    </row>
    <row r="103" spans="1:2" x14ac:dyDescent="0.35">
      <c r="A103" s="43" t="s">
        <v>755</v>
      </c>
      <c r="B103" s="44" t="s">
        <v>755</v>
      </c>
    </row>
    <row r="104" spans="1:2" x14ac:dyDescent="0.35">
      <c r="A104" s="43" t="s">
        <v>755</v>
      </c>
      <c r="B104" s="44" t="s">
        <v>755</v>
      </c>
    </row>
    <row r="105" spans="1:2" x14ac:dyDescent="0.35">
      <c r="A105" s="43" t="s">
        <v>755</v>
      </c>
      <c r="B105" s="44" t="s">
        <v>755</v>
      </c>
    </row>
    <row r="106" spans="1:2" x14ac:dyDescent="0.35">
      <c r="A106" s="43" t="s">
        <v>755</v>
      </c>
      <c r="B106" s="44" t="s">
        <v>755</v>
      </c>
    </row>
    <row r="107" spans="1:2" x14ac:dyDescent="0.35">
      <c r="A107" s="43" t="s">
        <v>755</v>
      </c>
      <c r="B107" s="44" t="s">
        <v>755</v>
      </c>
    </row>
    <row r="108" spans="1:2" x14ac:dyDescent="0.35">
      <c r="A108" s="43" t="s">
        <v>755</v>
      </c>
      <c r="B108" s="44" t="s">
        <v>755</v>
      </c>
    </row>
    <row r="109" spans="1:2" x14ac:dyDescent="0.35">
      <c r="A109" s="43" t="s">
        <v>755</v>
      </c>
      <c r="B109" s="44" t="s">
        <v>755</v>
      </c>
    </row>
  </sheetData>
  <sortState ref="C4:I43">
    <sortCondition descending="1" ref="F4:F4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90D20-F45A-4404-889C-74E2DC069FD6}">
  <dimension ref="A1:O109"/>
  <sheetViews>
    <sheetView workbookViewId="0">
      <selection activeCell="C2" sqref="C2"/>
    </sheetView>
  </sheetViews>
  <sheetFormatPr defaultRowHeight="14.5" x14ac:dyDescent="0.35"/>
  <cols>
    <col min="1" max="1" width="15.7265625" customWidth="1"/>
    <col min="2" max="2" width="13.90625" customWidth="1"/>
    <col min="3" max="3" width="13.453125" customWidth="1"/>
    <col min="4" max="4" width="21.1796875" customWidth="1"/>
    <col min="5" max="5" width="13" customWidth="1"/>
    <col min="6" max="6" width="16.81640625" customWidth="1"/>
    <col min="7" max="7" width="15.08984375" customWidth="1"/>
    <col min="8" max="8" width="13.6328125" customWidth="1"/>
    <col min="9" max="9" width="13.08984375" customWidth="1"/>
    <col min="10" max="10" width="12.453125" customWidth="1"/>
    <col min="11" max="11" width="16.453125" customWidth="1"/>
    <col min="12" max="12" width="15.453125" customWidth="1"/>
    <col min="13" max="14" width="13.81640625" customWidth="1"/>
  </cols>
  <sheetData>
    <row r="1" spans="1:15" ht="21" x14ac:dyDescent="0.5">
      <c r="A1" s="32" t="s">
        <v>688</v>
      </c>
    </row>
    <row r="2" spans="1:15" x14ac:dyDescent="0.35">
      <c r="C2" t="s">
        <v>941</v>
      </c>
      <c r="D2" s="4" t="s">
        <v>689</v>
      </c>
      <c r="E2" s="4"/>
    </row>
    <row r="3" spans="1:15" ht="44.5" x14ac:dyDescent="0.45">
      <c r="A3" s="45" t="s">
        <v>690</v>
      </c>
      <c r="B3" s="45" t="s">
        <v>691</v>
      </c>
      <c r="C3" s="9" t="s">
        <v>37</v>
      </c>
      <c r="D3" s="2" t="s">
        <v>38</v>
      </c>
      <c r="E3" s="12" t="s">
        <v>678</v>
      </c>
      <c r="F3" s="12" t="s">
        <v>679</v>
      </c>
      <c r="G3" s="12" t="s">
        <v>680</v>
      </c>
      <c r="H3" s="12" t="s">
        <v>681</v>
      </c>
      <c r="I3" s="12" t="s">
        <v>682</v>
      </c>
      <c r="J3" s="12" t="s">
        <v>683</v>
      </c>
      <c r="K3" s="12" t="s">
        <v>684</v>
      </c>
      <c r="L3" s="12" t="s">
        <v>685</v>
      </c>
      <c r="M3" s="12" t="s">
        <v>686</v>
      </c>
      <c r="N3" s="12" t="s">
        <v>687</v>
      </c>
    </row>
    <row r="4" spans="1:15" ht="18.5" x14ac:dyDescent="0.45">
      <c r="A4" s="43" t="str">
        <f>IF(J4="","",100*E4/J4)</f>
        <v/>
      </c>
      <c r="B4" s="44">
        <f>IF(G4="","",100*E4/G4)</f>
        <v>119.08177905308466</v>
      </c>
      <c r="C4" s="9" t="s">
        <v>201</v>
      </c>
      <c r="D4" t="s">
        <v>202</v>
      </c>
      <c r="E4" s="44">
        <v>747</v>
      </c>
      <c r="F4" s="71">
        <v>84.886363636363626</v>
      </c>
      <c r="G4" s="44">
        <v>627.29999999999995</v>
      </c>
      <c r="H4" s="44"/>
      <c r="I4" s="44"/>
      <c r="J4" s="44"/>
      <c r="K4" s="71">
        <v>0</v>
      </c>
      <c r="L4" s="44"/>
      <c r="M4" s="44"/>
      <c r="N4" s="44"/>
      <c r="O4" s="70"/>
    </row>
    <row r="5" spans="1:15" ht="18.5" x14ac:dyDescent="0.45">
      <c r="A5" s="43" t="str">
        <f t="shared" ref="A5:A68" si="0">IF(J5="","",100*E5/J5)</f>
        <v/>
      </c>
      <c r="B5" s="44">
        <f t="shared" ref="B5:B68" si="1">IF(G5="","",100*E5/G5)</f>
        <v>87.145607455312458</v>
      </c>
      <c r="C5" s="9" t="s">
        <v>26</v>
      </c>
      <c r="D5" t="s">
        <v>27</v>
      </c>
      <c r="E5" s="44">
        <v>740.99300000000005</v>
      </c>
      <c r="F5" s="71">
        <v>82.15</v>
      </c>
      <c r="G5" s="44">
        <v>850.29300000000012</v>
      </c>
      <c r="H5" s="44"/>
      <c r="I5" s="44"/>
      <c r="J5" s="44"/>
      <c r="K5" s="71">
        <v>0</v>
      </c>
      <c r="L5" s="44"/>
      <c r="M5" s="44"/>
      <c r="N5" s="44"/>
      <c r="O5" s="70"/>
    </row>
    <row r="6" spans="1:15" ht="18.5" x14ac:dyDescent="0.45">
      <c r="A6" s="43" t="str">
        <f t="shared" si="0"/>
        <v/>
      </c>
      <c r="B6" s="44">
        <f t="shared" si="1"/>
        <v>146.69421487603304</v>
      </c>
      <c r="C6" s="9" t="s">
        <v>17</v>
      </c>
      <c r="D6" t="s">
        <v>56</v>
      </c>
      <c r="E6" s="44">
        <v>1065</v>
      </c>
      <c r="F6" s="71">
        <v>80.195783132530124</v>
      </c>
      <c r="G6" s="44">
        <v>726</v>
      </c>
      <c r="H6" s="44"/>
      <c r="I6" s="44"/>
      <c r="J6" s="44"/>
      <c r="K6" s="71">
        <v>0</v>
      </c>
      <c r="L6" s="44"/>
      <c r="M6" s="44"/>
      <c r="N6" s="44"/>
      <c r="O6" s="70"/>
    </row>
    <row r="7" spans="1:15" ht="18.5" x14ac:dyDescent="0.45">
      <c r="A7" s="43" t="str">
        <f t="shared" si="0"/>
        <v/>
      </c>
      <c r="B7" s="44">
        <f t="shared" si="1"/>
        <v>72.727272727272734</v>
      </c>
      <c r="C7" s="9" t="s">
        <v>261</v>
      </c>
      <c r="D7" t="s">
        <v>262</v>
      </c>
      <c r="E7" s="44">
        <v>880</v>
      </c>
      <c r="F7" s="71">
        <v>78.571428571428569</v>
      </c>
      <c r="G7" s="44">
        <v>1210</v>
      </c>
      <c r="H7" s="44"/>
      <c r="I7" s="44"/>
      <c r="J7" s="44"/>
      <c r="K7" s="71">
        <v>0</v>
      </c>
      <c r="L7" s="44"/>
      <c r="M7" s="44"/>
      <c r="N7" s="44"/>
      <c r="O7" s="70"/>
    </row>
    <row r="8" spans="1:15" ht="18.5" x14ac:dyDescent="0.45">
      <c r="A8" s="43" t="str">
        <f t="shared" si="0"/>
        <v/>
      </c>
      <c r="B8" s="44">
        <f t="shared" si="1"/>
        <v>109.05459387483356</v>
      </c>
      <c r="C8" s="9" t="s">
        <v>306</v>
      </c>
      <c r="D8" t="s">
        <v>305</v>
      </c>
      <c r="E8" s="44">
        <v>819</v>
      </c>
      <c r="F8" s="71">
        <v>76.829268292682926</v>
      </c>
      <c r="G8" s="44">
        <v>751</v>
      </c>
      <c r="H8" s="44"/>
      <c r="I8" s="44"/>
      <c r="J8" s="44"/>
      <c r="K8" s="71">
        <v>0</v>
      </c>
      <c r="L8" s="44"/>
      <c r="M8" s="44"/>
      <c r="N8" s="44"/>
      <c r="O8" s="70"/>
    </row>
    <row r="9" spans="1:15" ht="18.5" x14ac:dyDescent="0.45">
      <c r="A9" s="43" t="str">
        <f t="shared" si="0"/>
        <v/>
      </c>
      <c r="B9" s="44">
        <f t="shared" si="1"/>
        <v>127.94117647058823</v>
      </c>
      <c r="C9" s="9" t="s">
        <v>308</v>
      </c>
      <c r="D9" t="s">
        <v>309</v>
      </c>
      <c r="E9" s="44">
        <v>870</v>
      </c>
      <c r="F9" s="71">
        <v>75.850043591979073</v>
      </c>
      <c r="G9" s="44">
        <v>680</v>
      </c>
      <c r="H9" s="44"/>
      <c r="I9" s="44"/>
      <c r="J9" s="44"/>
      <c r="K9" s="71">
        <v>0</v>
      </c>
      <c r="L9" s="44"/>
      <c r="M9" s="44"/>
      <c r="N9" s="44"/>
      <c r="O9" s="70"/>
    </row>
    <row r="10" spans="1:15" ht="18.5" x14ac:dyDescent="0.45">
      <c r="A10" s="43" t="str">
        <f t="shared" si="0"/>
        <v/>
      </c>
      <c r="B10" s="44">
        <f t="shared" si="1"/>
        <v>64.625850340136054</v>
      </c>
      <c r="C10" s="9" t="s">
        <v>35</v>
      </c>
      <c r="D10" t="s">
        <v>57</v>
      </c>
      <c r="E10" s="44">
        <v>950</v>
      </c>
      <c r="F10" s="71">
        <v>70.214338507021438</v>
      </c>
      <c r="G10" s="44">
        <v>1470</v>
      </c>
      <c r="H10" s="44">
        <v>670</v>
      </c>
      <c r="I10" s="44">
        <v>302</v>
      </c>
      <c r="J10" s="44"/>
      <c r="K10" s="71">
        <v>0</v>
      </c>
      <c r="L10" s="44"/>
      <c r="M10" s="44"/>
      <c r="N10" s="44"/>
      <c r="O10" s="70"/>
    </row>
    <row r="11" spans="1:15" ht="18.5" x14ac:dyDescent="0.45">
      <c r="A11" s="43">
        <f t="shared" si="0"/>
        <v>76.666666666666671</v>
      </c>
      <c r="B11" s="44">
        <f t="shared" si="1"/>
        <v>72.407407407407405</v>
      </c>
      <c r="C11" s="9" t="s">
        <v>240</v>
      </c>
      <c r="D11" t="s">
        <v>143</v>
      </c>
      <c r="E11" s="44">
        <v>782</v>
      </c>
      <c r="F11" s="71">
        <v>68.596491228070178</v>
      </c>
      <c r="G11" s="44">
        <v>1080</v>
      </c>
      <c r="H11" s="44"/>
      <c r="I11" s="44">
        <v>435.58</v>
      </c>
      <c r="J11" s="44">
        <v>1020</v>
      </c>
      <c r="K11" s="71">
        <v>89.473684210526315</v>
      </c>
      <c r="L11" s="44">
        <v>1300</v>
      </c>
      <c r="M11" s="44"/>
      <c r="N11" s="44">
        <v>784.89</v>
      </c>
      <c r="O11" s="70"/>
    </row>
    <row r="12" spans="1:15" ht="18.5" x14ac:dyDescent="0.45">
      <c r="A12" s="43">
        <f t="shared" si="0"/>
        <v>72.935779816513758</v>
      </c>
      <c r="B12" s="44" t="str">
        <f t="shared" si="1"/>
        <v/>
      </c>
      <c r="C12" s="9" t="s">
        <v>142</v>
      </c>
      <c r="D12" t="s">
        <v>143</v>
      </c>
      <c r="E12" s="44">
        <v>795</v>
      </c>
      <c r="F12" s="71">
        <v>66.25</v>
      </c>
      <c r="G12" s="44"/>
      <c r="H12" s="44"/>
      <c r="I12" s="44"/>
      <c r="J12" s="44">
        <v>1090</v>
      </c>
      <c r="K12" s="71">
        <v>90.833333333333329</v>
      </c>
      <c r="L12" s="44"/>
      <c r="M12" s="44"/>
      <c r="N12" s="44"/>
      <c r="O12" s="70"/>
    </row>
    <row r="13" spans="1:15" ht="18.5" x14ac:dyDescent="0.45">
      <c r="A13" s="43">
        <f t="shared" si="0"/>
        <v>81.967213114754102</v>
      </c>
      <c r="B13" s="44">
        <f t="shared" si="1"/>
        <v>50</v>
      </c>
      <c r="C13" s="9" t="s">
        <v>375</v>
      </c>
      <c r="D13" t="s">
        <v>429</v>
      </c>
      <c r="E13" s="44">
        <v>964</v>
      </c>
      <c r="F13" s="71">
        <v>64.784946236559136</v>
      </c>
      <c r="G13" s="44">
        <v>1928</v>
      </c>
      <c r="H13" s="44"/>
      <c r="I13" s="44"/>
      <c r="J13" s="44">
        <v>1176.08</v>
      </c>
      <c r="K13" s="71">
        <v>79.037634408602145</v>
      </c>
      <c r="L13" s="44"/>
      <c r="M13" s="44"/>
      <c r="N13" s="44"/>
      <c r="O13" s="70"/>
    </row>
    <row r="14" spans="1:15" ht="18.5" x14ac:dyDescent="0.45">
      <c r="A14" s="43" t="str">
        <f t="shared" si="0"/>
        <v/>
      </c>
      <c r="B14" s="44">
        <f t="shared" si="1"/>
        <v>41.291666666666664</v>
      </c>
      <c r="C14" s="9" t="s">
        <v>349</v>
      </c>
      <c r="D14" t="s">
        <v>346</v>
      </c>
      <c r="E14" s="44">
        <v>991</v>
      </c>
      <c r="F14" s="71">
        <v>63.525641025641029</v>
      </c>
      <c r="G14" s="44">
        <v>2400</v>
      </c>
      <c r="H14" s="44"/>
      <c r="I14" s="44"/>
      <c r="J14" s="44"/>
      <c r="K14" s="71">
        <v>0</v>
      </c>
      <c r="L14" s="44"/>
      <c r="M14" s="44"/>
      <c r="N14" s="44"/>
      <c r="O14" s="70"/>
    </row>
    <row r="15" spans="1:15" ht="18.5" x14ac:dyDescent="0.45">
      <c r="A15" s="43">
        <f t="shared" si="0"/>
        <v>89.515072083879417</v>
      </c>
      <c r="B15" s="44">
        <f t="shared" si="1"/>
        <v>74.158523344191096</v>
      </c>
      <c r="C15" s="9" t="s">
        <v>220</v>
      </c>
      <c r="D15" t="s">
        <v>221</v>
      </c>
      <c r="E15" s="44">
        <v>683</v>
      </c>
      <c r="F15" s="71">
        <v>59.912280701754383</v>
      </c>
      <c r="G15" s="44">
        <v>921</v>
      </c>
      <c r="H15" s="44"/>
      <c r="I15" s="44">
        <v>633</v>
      </c>
      <c r="J15" s="44">
        <v>763</v>
      </c>
      <c r="K15" s="71">
        <v>66.929824561403507</v>
      </c>
      <c r="L15" s="44">
        <v>1060</v>
      </c>
      <c r="M15" s="44"/>
      <c r="N15" s="44">
        <v>836</v>
      </c>
      <c r="O15" s="70"/>
    </row>
    <row r="16" spans="1:15" ht="18.5" x14ac:dyDescent="0.45">
      <c r="A16" s="43" t="str">
        <f t="shared" si="0"/>
        <v/>
      </c>
      <c r="B16" s="44">
        <f t="shared" si="1"/>
        <v>64.458955223880594</v>
      </c>
      <c r="C16" s="9" t="s">
        <v>528</v>
      </c>
      <c r="D16" t="s">
        <v>562</v>
      </c>
      <c r="E16" s="44">
        <v>691</v>
      </c>
      <c r="F16" s="71">
        <v>59.517657192075802</v>
      </c>
      <c r="G16" s="44">
        <v>1072</v>
      </c>
      <c r="H16" s="44"/>
      <c r="I16" s="44">
        <v>738</v>
      </c>
      <c r="J16" s="44"/>
      <c r="K16" s="71">
        <v>0</v>
      </c>
      <c r="L16" s="44"/>
      <c r="M16" s="44"/>
      <c r="N16" s="44"/>
      <c r="O16" s="70"/>
    </row>
    <row r="17" spans="1:14" ht="18.5" x14ac:dyDescent="0.45">
      <c r="A17" s="43" t="str">
        <f t="shared" si="0"/>
        <v/>
      </c>
      <c r="B17" s="44">
        <f t="shared" si="1"/>
        <v>53.409961685823752</v>
      </c>
      <c r="C17" s="9" t="s">
        <v>204</v>
      </c>
      <c r="D17" t="s">
        <v>210</v>
      </c>
      <c r="E17" s="44">
        <v>697</v>
      </c>
      <c r="F17" s="71">
        <v>58.083333333333336</v>
      </c>
      <c r="G17" s="44">
        <v>1305</v>
      </c>
      <c r="H17" s="44"/>
      <c r="I17" s="44">
        <v>893</v>
      </c>
      <c r="J17" s="44"/>
      <c r="K17" s="71">
        <v>0</v>
      </c>
      <c r="L17" s="44"/>
      <c r="M17" s="44"/>
      <c r="N17" s="44"/>
    </row>
    <row r="18" spans="1:14" ht="18.5" x14ac:dyDescent="0.45">
      <c r="A18" s="43">
        <f t="shared" si="0"/>
        <v>155.08474576271186</v>
      </c>
      <c r="B18" s="44">
        <f t="shared" si="1"/>
        <v>63.986013986013987</v>
      </c>
      <c r="C18" s="9" t="s">
        <v>331</v>
      </c>
      <c r="D18" t="s">
        <v>97</v>
      </c>
      <c r="E18" s="44">
        <v>549</v>
      </c>
      <c r="F18" s="71">
        <v>56.307692307692307</v>
      </c>
      <c r="G18" s="44">
        <v>858</v>
      </c>
      <c r="H18" s="44"/>
      <c r="I18" s="44">
        <v>357.9</v>
      </c>
      <c r="J18" s="44">
        <v>354</v>
      </c>
      <c r="K18" s="71">
        <v>36.307692307692307</v>
      </c>
      <c r="L18" s="44">
        <v>1024.8</v>
      </c>
      <c r="M18" s="44"/>
      <c r="N18" s="44">
        <v>527.29999999999995</v>
      </c>
    </row>
    <row r="19" spans="1:14" ht="18.5" x14ac:dyDescent="0.45">
      <c r="A19" s="43">
        <f t="shared" si="0"/>
        <v>76.55068078668684</v>
      </c>
      <c r="B19" s="44">
        <f t="shared" si="1"/>
        <v>54.000000000000007</v>
      </c>
      <c r="C19" s="9" t="s">
        <v>7</v>
      </c>
      <c r="D19" t="s">
        <v>55</v>
      </c>
      <c r="E19" s="44">
        <v>506</v>
      </c>
      <c r="F19" s="71">
        <v>50.099009900990097</v>
      </c>
      <c r="G19" s="44">
        <v>937.03703703703695</v>
      </c>
      <c r="H19" s="44"/>
      <c r="I19" s="44"/>
      <c r="J19" s="44">
        <v>661</v>
      </c>
      <c r="K19" s="71">
        <v>65.445544554455452</v>
      </c>
      <c r="L19" s="44">
        <v>695.78947368421052</v>
      </c>
      <c r="M19" s="44"/>
      <c r="N19" s="44"/>
    </row>
    <row r="20" spans="1:14" ht="18.5" x14ac:dyDescent="0.45">
      <c r="A20" s="43" t="str">
        <f t="shared" si="0"/>
        <v/>
      </c>
      <c r="B20" s="44" t="str">
        <f t="shared" si="1"/>
        <v/>
      </c>
      <c r="C20" s="9" t="s">
        <v>53</v>
      </c>
      <c r="D20" t="s">
        <v>54</v>
      </c>
      <c r="E20" s="44">
        <v>653.4</v>
      </c>
      <c r="F20" s="71">
        <v>48.4</v>
      </c>
      <c r="G20" s="44"/>
      <c r="H20" s="44"/>
      <c r="I20" s="44"/>
      <c r="J20" s="44"/>
      <c r="K20" s="71">
        <v>0</v>
      </c>
      <c r="L20" s="44"/>
      <c r="M20" s="44"/>
      <c r="N20" s="44"/>
    </row>
    <row r="21" spans="1:14" ht="18.5" x14ac:dyDescent="0.45">
      <c r="A21" s="43" t="str">
        <f t="shared" si="0"/>
        <v/>
      </c>
      <c r="B21" s="44">
        <f t="shared" si="1"/>
        <v>36.382225972929994</v>
      </c>
      <c r="C21" s="9" t="s">
        <v>248</v>
      </c>
      <c r="D21" t="s">
        <v>249</v>
      </c>
      <c r="E21" s="44">
        <v>560.45000000000005</v>
      </c>
      <c r="F21" s="71">
        <v>44.339398734177216</v>
      </c>
      <c r="G21" s="44">
        <v>1540.45</v>
      </c>
      <c r="H21" s="44"/>
      <c r="I21" s="44"/>
      <c r="J21" s="44"/>
      <c r="K21" s="71">
        <v>0</v>
      </c>
      <c r="L21" s="44"/>
      <c r="M21" s="44"/>
      <c r="N21" s="44"/>
    </row>
    <row r="22" spans="1:14" ht="18.5" x14ac:dyDescent="0.45">
      <c r="A22" s="43" t="str">
        <f t="shared" si="0"/>
        <v/>
      </c>
      <c r="B22" s="44" t="str">
        <f t="shared" si="1"/>
        <v/>
      </c>
      <c r="C22" s="9" t="s">
        <v>70</v>
      </c>
      <c r="D22" t="s">
        <v>71</v>
      </c>
      <c r="E22" s="44"/>
      <c r="F22" s="71">
        <v>0</v>
      </c>
      <c r="G22" s="44"/>
      <c r="H22" s="44"/>
      <c r="I22" s="44"/>
      <c r="J22" s="44"/>
      <c r="K22" s="71">
        <v>0</v>
      </c>
      <c r="L22" s="44"/>
      <c r="M22" s="44"/>
      <c r="N22" s="44"/>
    </row>
    <row r="23" spans="1:14" ht="18.5" x14ac:dyDescent="0.45">
      <c r="A23" s="43" t="str">
        <f t="shared" si="0"/>
        <v/>
      </c>
      <c r="B23" s="44" t="str">
        <f t="shared" si="1"/>
        <v/>
      </c>
      <c r="C23" s="9" t="s">
        <v>329</v>
      </c>
      <c r="D23" t="s">
        <v>85</v>
      </c>
      <c r="E23" s="44"/>
      <c r="F23" s="71">
        <v>0</v>
      </c>
      <c r="G23" s="44"/>
      <c r="H23" s="44"/>
      <c r="I23" s="44"/>
      <c r="J23" s="44"/>
      <c r="K23" s="71">
        <v>0</v>
      </c>
      <c r="L23" s="44"/>
      <c r="M23" s="44"/>
      <c r="N23" s="44"/>
    </row>
    <row r="24" spans="1:14" ht="18.5" x14ac:dyDescent="0.45">
      <c r="A24" s="43" t="str">
        <f t="shared" si="0"/>
        <v/>
      </c>
      <c r="B24" s="44" t="str">
        <f t="shared" si="1"/>
        <v/>
      </c>
      <c r="C24" s="9" t="s">
        <v>108</v>
      </c>
      <c r="D24" t="s">
        <v>109</v>
      </c>
      <c r="E24" s="44"/>
      <c r="F24" s="71">
        <v>0</v>
      </c>
      <c r="G24" s="44"/>
      <c r="H24" s="44"/>
      <c r="I24" s="44"/>
      <c r="J24" s="44"/>
      <c r="K24" s="71">
        <v>0</v>
      </c>
      <c r="L24" s="44"/>
      <c r="M24" s="44"/>
      <c r="N24" s="44"/>
    </row>
    <row r="25" spans="1:14" ht="18.5" x14ac:dyDescent="0.45">
      <c r="A25" s="43" t="str">
        <f t="shared" si="0"/>
        <v/>
      </c>
      <c r="B25" s="44" t="str">
        <f t="shared" si="1"/>
        <v/>
      </c>
      <c r="C25" s="9" t="s">
        <v>117</v>
      </c>
      <c r="D25" t="s">
        <v>118</v>
      </c>
      <c r="E25" s="44"/>
      <c r="F25" s="71">
        <v>0</v>
      </c>
      <c r="G25" s="44"/>
      <c r="H25" s="44"/>
      <c r="I25" s="44"/>
      <c r="J25" s="44"/>
      <c r="K25" s="71">
        <v>0</v>
      </c>
      <c r="L25" s="44"/>
      <c r="M25" s="44"/>
      <c r="N25" s="44"/>
    </row>
    <row r="26" spans="1:14" ht="18.5" x14ac:dyDescent="0.45">
      <c r="A26" s="43" t="str">
        <f t="shared" si="0"/>
        <v/>
      </c>
      <c r="B26" s="44" t="str">
        <f t="shared" si="1"/>
        <v/>
      </c>
      <c r="C26" s="9" t="s">
        <v>136</v>
      </c>
      <c r="D26" t="s">
        <v>137</v>
      </c>
      <c r="E26" s="44"/>
      <c r="F26" s="71">
        <v>0</v>
      </c>
      <c r="G26" s="44"/>
      <c r="H26" s="44"/>
      <c r="I26" s="44"/>
      <c r="J26" s="44"/>
      <c r="K26" s="71">
        <v>0</v>
      </c>
      <c r="L26" s="44"/>
      <c r="M26" s="44"/>
      <c r="N26" s="44"/>
    </row>
    <row r="27" spans="1:14" ht="18.5" x14ac:dyDescent="0.45">
      <c r="A27" s="43" t="str">
        <f t="shared" si="0"/>
        <v/>
      </c>
      <c r="B27" s="44" t="str">
        <f t="shared" si="1"/>
        <v/>
      </c>
      <c r="C27" s="9" t="s">
        <v>123</v>
      </c>
      <c r="D27" t="s">
        <v>151</v>
      </c>
      <c r="E27" s="44"/>
      <c r="F27" s="71">
        <v>0</v>
      </c>
      <c r="G27" s="44"/>
      <c r="H27" s="44"/>
      <c r="I27" s="44"/>
      <c r="J27" s="44"/>
      <c r="K27" s="71">
        <v>0</v>
      </c>
      <c r="L27" s="44"/>
      <c r="M27" s="44"/>
      <c r="N27" s="44"/>
    </row>
    <row r="28" spans="1:14" ht="18.5" x14ac:dyDescent="0.45">
      <c r="A28" s="43" t="str">
        <f t="shared" si="0"/>
        <v/>
      </c>
      <c r="B28" s="44" t="str">
        <f t="shared" si="1"/>
        <v/>
      </c>
      <c r="C28" s="9" t="s">
        <v>152</v>
      </c>
      <c r="D28" t="s">
        <v>159</v>
      </c>
      <c r="E28" s="44"/>
      <c r="F28" s="71">
        <v>0</v>
      </c>
      <c r="G28" s="44"/>
      <c r="H28" s="44"/>
      <c r="I28" s="44"/>
      <c r="J28" s="44"/>
      <c r="K28" s="71">
        <v>0</v>
      </c>
      <c r="L28" s="44"/>
      <c r="M28" s="44"/>
      <c r="N28" s="44"/>
    </row>
    <row r="29" spans="1:14" ht="18.5" x14ac:dyDescent="0.45">
      <c r="A29" s="43" t="str">
        <f t="shared" si="0"/>
        <v/>
      </c>
      <c r="B29" s="44" t="str">
        <f t="shared" si="1"/>
        <v/>
      </c>
      <c r="C29" s="9" t="s">
        <v>169</v>
      </c>
      <c r="D29" t="s">
        <v>170</v>
      </c>
      <c r="E29" s="44"/>
      <c r="F29" s="71">
        <v>0</v>
      </c>
      <c r="G29" s="44"/>
      <c r="H29" s="44"/>
      <c r="I29" s="44"/>
      <c r="J29" s="44"/>
      <c r="K29" s="71">
        <v>0</v>
      </c>
      <c r="L29" s="44"/>
      <c r="M29" s="44"/>
      <c r="N29" s="44"/>
    </row>
    <row r="30" spans="1:14" ht="18.5" x14ac:dyDescent="0.45">
      <c r="A30" s="43" t="str">
        <f t="shared" si="0"/>
        <v/>
      </c>
      <c r="B30" s="44" t="str">
        <f t="shared" si="1"/>
        <v/>
      </c>
      <c r="C30" s="9" t="s">
        <v>172</v>
      </c>
      <c r="D30" t="s">
        <v>173</v>
      </c>
      <c r="E30" s="44"/>
      <c r="F30" s="71">
        <v>0</v>
      </c>
      <c r="G30" s="44"/>
      <c r="H30" s="44"/>
      <c r="I30" s="44"/>
      <c r="J30" s="44"/>
      <c r="K30" s="71">
        <v>0</v>
      </c>
      <c r="L30" s="44"/>
      <c r="M30" s="44"/>
      <c r="N30" s="44"/>
    </row>
    <row r="31" spans="1:14" ht="18.5" x14ac:dyDescent="0.45">
      <c r="A31" s="43" t="str">
        <f t="shared" si="0"/>
        <v/>
      </c>
      <c r="B31" s="44" t="str">
        <f t="shared" si="1"/>
        <v/>
      </c>
      <c r="C31" s="9" t="s">
        <v>182</v>
      </c>
      <c r="D31" t="s">
        <v>183</v>
      </c>
      <c r="E31" s="44"/>
      <c r="F31" s="71">
        <v>0</v>
      </c>
      <c r="G31" s="44"/>
      <c r="H31" s="44"/>
      <c r="I31" s="44"/>
      <c r="J31" s="44"/>
      <c r="K31" s="71">
        <v>0</v>
      </c>
      <c r="L31" s="44"/>
      <c r="M31" s="44"/>
      <c r="N31" s="44"/>
    </row>
    <row r="32" spans="1:14" ht="18.5" x14ac:dyDescent="0.45">
      <c r="A32" s="43" t="str">
        <f t="shared" si="0"/>
        <v/>
      </c>
      <c r="B32" s="44" t="str">
        <f t="shared" si="1"/>
        <v/>
      </c>
      <c r="C32" s="9" t="s">
        <v>230</v>
      </c>
      <c r="D32" t="s">
        <v>231</v>
      </c>
      <c r="E32" s="44"/>
      <c r="F32" s="71">
        <v>0</v>
      </c>
      <c r="G32" s="44"/>
      <c r="H32" s="44"/>
      <c r="I32" s="44"/>
      <c r="J32" s="44"/>
      <c r="K32" s="71">
        <v>0</v>
      </c>
      <c r="L32" s="44"/>
      <c r="M32" s="44"/>
      <c r="N32" s="44"/>
    </row>
    <row r="33" spans="1:14" ht="18.5" x14ac:dyDescent="0.45">
      <c r="A33" s="43" t="str">
        <f t="shared" si="0"/>
        <v/>
      </c>
      <c r="B33" s="44" t="str">
        <f t="shared" si="1"/>
        <v/>
      </c>
      <c r="C33" s="9" t="s">
        <v>285</v>
      </c>
      <c r="D33" t="s">
        <v>286</v>
      </c>
      <c r="E33" s="44"/>
      <c r="F33" s="71">
        <v>0</v>
      </c>
      <c r="G33" s="44"/>
      <c r="H33" s="44"/>
      <c r="I33" s="44"/>
      <c r="J33" s="44"/>
      <c r="K33" s="71">
        <v>0</v>
      </c>
      <c r="L33" s="44"/>
      <c r="M33" s="44"/>
      <c r="N33" s="44"/>
    </row>
    <row r="34" spans="1:14" ht="18.5" x14ac:dyDescent="0.45">
      <c r="A34" s="43" t="str">
        <f t="shared" si="0"/>
        <v/>
      </c>
      <c r="B34" s="44" t="str">
        <f t="shared" si="1"/>
        <v/>
      </c>
      <c r="C34" s="9" t="s">
        <v>288</v>
      </c>
      <c r="D34" t="s">
        <v>289</v>
      </c>
      <c r="E34" s="44"/>
      <c r="F34" s="71">
        <v>0</v>
      </c>
      <c r="G34" s="44"/>
      <c r="H34" s="44"/>
      <c r="I34" s="44"/>
      <c r="J34" s="44"/>
      <c r="K34" s="71">
        <v>0</v>
      </c>
      <c r="L34" s="44"/>
      <c r="M34" s="44"/>
      <c r="N34" s="44"/>
    </row>
    <row r="35" spans="1:14" ht="18.5" x14ac:dyDescent="0.45">
      <c r="A35" s="43" t="str">
        <f t="shared" si="0"/>
        <v/>
      </c>
      <c r="B35" s="44" t="str">
        <f t="shared" si="1"/>
        <v/>
      </c>
      <c r="C35" s="9" t="s">
        <v>312</v>
      </c>
      <c r="D35" t="s">
        <v>313</v>
      </c>
      <c r="E35" s="44"/>
      <c r="F35" s="71">
        <v>0</v>
      </c>
      <c r="G35" s="44"/>
      <c r="H35" s="44"/>
      <c r="I35" s="44"/>
      <c r="J35" s="44"/>
      <c r="K35" s="71">
        <v>0</v>
      </c>
      <c r="L35" s="44"/>
      <c r="M35" s="44"/>
      <c r="N35" s="44"/>
    </row>
    <row r="36" spans="1:14" ht="18.5" x14ac:dyDescent="0.45">
      <c r="A36" s="43" t="str">
        <f t="shared" si="0"/>
        <v/>
      </c>
      <c r="B36" s="44" t="str">
        <f t="shared" si="1"/>
        <v/>
      </c>
      <c r="C36" s="9" t="s">
        <v>304</v>
      </c>
      <c r="D36" t="s">
        <v>289</v>
      </c>
      <c r="E36" s="44"/>
      <c r="F36" s="71">
        <v>0</v>
      </c>
      <c r="G36" s="44"/>
      <c r="H36" s="44"/>
      <c r="I36" s="44"/>
      <c r="J36" s="44"/>
      <c r="K36" s="71">
        <v>0</v>
      </c>
      <c r="L36" s="44"/>
      <c r="M36" s="44"/>
      <c r="N36" s="44"/>
    </row>
    <row r="37" spans="1:14" ht="18.5" x14ac:dyDescent="0.45">
      <c r="A37" s="43" t="str">
        <f t="shared" si="0"/>
        <v/>
      </c>
      <c r="B37" s="44" t="str">
        <f t="shared" si="1"/>
        <v/>
      </c>
      <c r="C37" s="9" t="s">
        <v>560</v>
      </c>
      <c r="D37" t="s">
        <v>561</v>
      </c>
      <c r="E37" s="44"/>
      <c r="F37" s="71">
        <v>0</v>
      </c>
      <c r="G37" s="44"/>
      <c r="H37" s="44"/>
      <c r="I37" s="44"/>
      <c r="J37" s="44"/>
      <c r="K37" s="71">
        <v>0</v>
      </c>
      <c r="L37" s="44"/>
      <c r="M37" s="44"/>
      <c r="N37" s="44"/>
    </row>
    <row r="38" spans="1:14" ht="18.5" x14ac:dyDescent="0.45">
      <c r="A38" s="43" t="str">
        <f t="shared" si="0"/>
        <v/>
      </c>
      <c r="B38" s="44" t="str">
        <f t="shared" si="1"/>
        <v/>
      </c>
      <c r="C38" s="9" t="s">
        <v>582</v>
      </c>
      <c r="D38" t="s">
        <v>610</v>
      </c>
      <c r="E38" s="44"/>
      <c r="F38" s="71">
        <v>0</v>
      </c>
      <c r="G38" s="44"/>
      <c r="H38" s="44"/>
      <c r="I38" s="44"/>
      <c r="J38" s="44"/>
      <c r="K38" s="71">
        <v>0</v>
      </c>
      <c r="L38" s="44"/>
      <c r="M38" s="44"/>
      <c r="N38" s="44"/>
    </row>
    <row r="39" spans="1:14" ht="18.5" x14ac:dyDescent="0.45">
      <c r="A39" s="43" t="str">
        <f t="shared" si="0"/>
        <v/>
      </c>
      <c r="B39" s="44" t="str">
        <f t="shared" si="1"/>
        <v/>
      </c>
      <c r="C39" s="9" t="s">
        <v>641</v>
      </c>
      <c r="D39" t="s">
        <v>642</v>
      </c>
      <c r="E39" s="44"/>
      <c r="F39" s="71">
        <v>0</v>
      </c>
      <c r="G39" s="44"/>
      <c r="H39" s="44"/>
      <c r="I39" s="44"/>
      <c r="J39" s="44"/>
      <c r="K39" s="71">
        <v>0</v>
      </c>
      <c r="L39" s="44"/>
      <c r="M39" s="44"/>
      <c r="N39" s="44"/>
    </row>
    <row r="40" spans="1:14" ht="18.5" x14ac:dyDescent="0.45">
      <c r="A40" s="43" t="str">
        <f t="shared" si="0"/>
        <v/>
      </c>
      <c r="B40" s="44" t="str">
        <f t="shared" si="1"/>
        <v/>
      </c>
      <c r="C40" s="9" t="s">
        <v>659</v>
      </c>
      <c r="D40" t="s">
        <v>661</v>
      </c>
      <c r="E40" s="44"/>
      <c r="F40" s="71">
        <v>0</v>
      </c>
      <c r="G40" s="44"/>
      <c r="H40" s="44"/>
      <c r="I40" s="44"/>
      <c r="J40" s="44"/>
      <c r="K40" s="71">
        <v>0</v>
      </c>
      <c r="L40" s="44"/>
      <c r="M40" s="44"/>
      <c r="N40" s="44"/>
    </row>
    <row r="41" spans="1:14" ht="18.5" x14ac:dyDescent="0.45">
      <c r="A41" s="43" t="str">
        <f t="shared" si="0"/>
        <v/>
      </c>
      <c r="B41" s="44" t="str">
        <f t="shared" si="1"/>
        <v/>
      </c>
      <c r="C41" s="9" t="s">
        <v>674</v>
      </c>
      <c r="D41" t="s">
        <v>675</v>
      </c>
      <c r="E41" s="44"/>
      <c r="F41" s="71">
        <v>0</v>
      </c>
      <c r="G41" s="44"/>
      <c r="H41" s="44"/>
      <c r="I41" s="44"/>
      <c r="J41" s="44"/>
      <c r="K41" s="71">
        <v>0</v>
      </c>
      <c r="L41" s="44"/>
      <c r="M41" s="44"/>
      <c r="N41" s="44"/>
    </row>
    <row r="42" spans="1:14" x14ac:dyDescent="0.35">
      <c r="A42" s="43" t="str">
        <f t="shared" si="0"/>
        <v/>
      </c>
      <c r="B42" s="44" t="str">
        <f t="shared" si="1"/>
        <v/>
      </c>
      <c r="E42" s="44"/>
      <c r="F42" s="44"/>
      <c r="G42" s="44"/>
      <c r="H42" s="44"/>
      <c r="I42" s="44"/>
      <c r="J42" s="44"/>
      <c r="K42" s="44"/>
      <c r="L42" s="44"/>
      <c r="M42" s="44"/>
      <c r="N42" s="44"/>
    </row>
    <row r="43" spans="1:14" x14ac:dyDescent="0.35">
      <c r="A43" s="43" t="str">
        <f t="shared" si="0"/>
        <v/>
      </c>
      <c r="B43" s="44" t="str">
        <f t="shared" si="1"/>
        <v/>
      </c>
      <c r="E43" s="44"/>
      <c r="F43" s="44"/>
      <c r="G43" s="44"/>
      <c r="H43" s="44"/>
      <c r="I43" s="44"/>
      <c r="J43" s="44"/>
      <c r="K43" s="44"/>
      <c r="L43" s="44"/>
      <c r="M43" s="44"/>
      <c r="N43" s="44"/>
    </row>
    <row r="44" spans="1:14" x14ac:dyDescent="0.35">
      <c r="A44" s="43" t="str">
        <f t="shared" si="0"/>
        <v/>
      </c>
      <c r="B44" s="44" t="str">
        <f t="shared" si="1"/>
        <v/>
      </c>
      <c r="E44" s="44"/>
      <c r="F44" s="44"/>
      <c r="G44" s="44"/>
      <c r="H44" s="44"/>
      <c r="I44" s="44"/>
      <c r="J44" s="44"/>
      <c r="K44" s="44"/>
      <c r="L44" s="44"/>
      <c r="M44" s="44"/>
      <c r="N44" s="44"/>
    </row>
    <row r="45" spans="1:14" x14ac:dyDescent="0.35">
      <c r="A45" s="43" t="str">
        <f t="shared" si="0"/>
        <v/>
      </c>
      <c r="B45" s="44" t="str">
        <f t="shared" si="1"/>
        <v/>
      </c>
      <c r="E45" s="44"/>
      <c r="F45" s="44"/>
      <c r="G45" s="44"/>
      <c r="H45" s="44"/>
      <c r="I45" s="44"/>
      <c r="J45" s="44"/>
      <c r="K45" s="44"/>
      <c r="L45" s="44"/>
      <c r="M45" s="44"/>
      <c r="N45" s="44"/>
    </row>
    <row r="46" spans="1:14" x14ac:dyDescent="0.35">
      <c r="A46" s="43" t="str">
        <f t="shared" si="0"/>
        <v/>
      </c>
      <c r="B46" s="44" t="str">
        <f t="shared" si="1"/>
        <v/>
      </c>
      <c r="E46" s="44"/>
      <c r="F46" s="44"/>
      <c r="G46" s="44"/>
      <c r="H46" s="44"/>
      <c r="I46" s="44"/>
      <c r="J46" s="44"/>
      <c r="K46" s="44"/>
      <c r="L46" s="44"/>
      <c r="M46" s="44"/>
      <c r="N46" s="44"/>
    </row>
    <row r="47" spans="1:14" x14ac:dyDescent="0.35">
      <c r="A47" s="43" t="str">
        <f t="shared" si="0"/>
        <v/>
      </c>
      <c r="B47" s="44" t="str">
        <f t="shared" si="1"/>
        <v/>
      </c>
      <c r="E47" s="44"/>
      <c r="F47" s="44"/>
      <c r="G47" s="44"/>
      <c r="H47" s="44"/>
      <c r="I47" s="44"/>
      <c r="J47" s="44"/>
      <c r="K47" s="44"/>
      <c r="L47" s="44"/>
      <c r="M47" s="44"/>
      <c r="N47" s="44"/>
    </row>
    <row r="48" spans="1:14" x14ac:dyDescent="0.35">
      <c r="A48" s="43" t="str">
        <f t="shared" si="0"/>
        <v/>
      </c>
      <c r="B48" s="44" t="str">
        <f t="shared" si="1"/>
        <v/>
      </c>
      <c r="E48" s="44"/>
      <c r="F48" s="44"/>
      <c r="G48" s="44"/>
      <c r="H48" s="44"/>
      <c r="I48" s="44"/>
      <c r="J48" s="44"/>
      <c r="K48" s="44"/>
      <c r="L48" s="44"/>
      <c r="M48" s="44"/>
      <c r="N48" s="44"/>
    </row>
    <row r="49" spans="1:14" x14ac:dyDescent="0.35">
      <c r="A49" s="43" t="str">
        <f t="shared" si="0"/>
        <v/>
      </c>
      <c r="B49" s="44" t="str">
        <f t="shared" si="1"/>
        <v/>
      </c>
      <c r="E49" s="44"/>
      <c r="F49" s="44"/>
      <c r="G49" s="44"/>
      <c r="H49" s="44"/>
      <c r="I49" s="44"/>
      <c r="J49" s="44"/>
      <c r="K49" s="44"/>
      <c r="L49" s="44"/>
      <c r="M49" s="44"/>
      <c r="N49" s="44"/>
    </row>
    <row r="50" spans="1:14" x14ac:dyDescent="0.35">
      <c r="A50" s="43" t="str">
        <f t="shared" si="0"/>
        <v/>
      </c>
      <c r="B50" s="44" t="str">
        <f t="shared" si="1"/>
        <v/>
      </c>
      <c r="E50" s="44"/>
      <c r="F50" s="44"/>
      <c r="G50" s="44"/>
      <c r="H50" s="44"/>
      <c r="I50" s="44"/>
      <c r="J50" s="44"/>
      <c r="K50" s="44"/>
      <c r="L50" s="44"/>
      <c r="M50" s="44"/>
      <c r="N50" s="44"/>
    </row>
    <row r="51" spans="1:14" x14ac:dyDescent="0.35">
      <c r="A51" s="43" t="str">
        <f t="shared" si="0"/>
        <v/>
      </c>
      <c r="B51" s="44" t="str">
        <f t="shared" si="1"/>
        <v/>
      </c>
      <c r="E51" s="44"/>
      <c r="F51" s="44"/>
      <c r="G51" s="44"/>
      <c r="H51" s="44"/>
      <c r="I51" s="44"/>
      <c r="J51" s="44"/>
      <c r="K51" s="44"/>
      <c r="L51" s="44"/>
      <c r="M51" s="44"/>
      <c r="N51" s="44"/>
    </row>
    <row r="52" spans="1:14" x14ac:dyDescent="0.35">
      <c r="A52" s="43" t="str">
        <f t="shared" si="0"/>
        <v/>
      </c>
      <c r="B52" s="44" t="str">
        <f t="shared" si="1"/>
        <v/>
      </c>
      <c r="E52" s="44"/>
      <c r="F52" s="44"/>
      <c r="G52" s="44"/>
      <c r="H52" s="44"/>
      <c r="I52" s="44"/>
      <c r="J52" s="44"/>
      <c r="K52" s="44"/>
      <c r="L52" s="44"/>
      <c r="M52" s="44"/>
      <c r="N52" s="44"/>
    </row>
    <row r="53" spans="1:14" x14ac:dyDescent="0.35">
      <c r="A53" s="43" t="str">
        <f t="shared" si="0"/>
        <v/>
      </c>
      <c r="B53" s="44" t="str">
        <f t="shared" si="1"/>
        <v/>
      </c>
      <c r="E53" s="44"/>
      <c r="F53" s="44"/>
      <c r="G53" s="44"/>
      <c r="H53" s="44"/>
      <c r="I53" s="44"/>
      <c r="J53" s="44"/>
      <c r="K53" s="44"/>
      <c r="L53" s="44"/>
      <c r="M53" s="44"/>
      <c r="N53" s="44"/>
    </row>
    <row r="54" spans="1:14" x14ac:dyDescent="0.35">
      <c r="A54" s="43" t="str">
        <f t="shared" si="0"/>
        <v/>
      </c>
      <c r="B54" s="44" t="str">
        <f t="shared" si="1"/>
        <v/>
      </c>
      <c r="E54" s="44"/>
      <c r="F54" s="44"/>
      <c r="G54" s="44"/>
      <c r="H54" s="44"/>
      <c r="I54" s="44"/>
      <c r="J54" s="44"/>
      <c r="K54" s="44"/>
      <c r="L54" s="44"/>
      <c r="M54" s="44"/>
      <c r="N54" s="44"/>
    </row>
    <row r="55" spans="1:14" x14ac:dyDescent="0.35">
      <c r="A55" s="43" t="str">
        <f t="shared" si="0"/>
        <v/>
      </c>
      <c r="B55" s="44" t="str">
        <f t="shared" si="1"/>
        <v/>
      </c>
      <c r="E55" s="44"/>
      <c r="F55" s="44"/>
      <c r="G55" s="44"/>
      <c r="H55" s="44"/>
      <c r="I55" s="44"/>
      <c r="J55" s="44"/>
      <c r="K55" s="44"/>
      <c r="L55" s="44"/>
      <c r="M55" s="44"/>
      <c r="N55" s="44"/>
    </row>
    <row r="56" spans="1:14" x14ac:dyDescent="0.35">
      <c r="A56" s="43" t="str">
        <f t="shared" si="0"/>
        <v/>
      </c>
      <c r="B56" s="44" t="str">
        <f t="shared" si="1"/>
        <v/>
      </c>
      <c r="E56" s="44"/>
      <c r="F56" s="44"/>
      <c r="G56" s="44"/>
      <c r="H56" s="44"/>
      <c r="I56" s="44"/>
      <c r="J56" s="44"/>
      <c r="K56" s="44"/>
      <c r="L56" s="44"/>
      <c r="M56" s="44"/>
      <c r="N56" s="44"/>
    </row>
    <row r="57" spans="1:14" x14ac:dyDescent="0.35">
      <c r="A57" s="43" t="str">
        <f t="shared" si="0"/>
        <v/>
      </c>
      <c r="B57" s="44" t="str">
        <f t="shared" si="1"/>
        <v/>
      </c>
      <c r="E57" s="44"/>
      <c r="F57" s="44"/>
      <c r="G57" s="44"/>
      <c r="H57" s="44"/>
      <c r="I57" s="44"/>
      <c r="J57" s="44"/>
      <c r="K57" s="44"/>
      <c r="L57" s="44"/>
      <c r="M57" s="44"/>
      <c r="N57" s="44"/>
    </row>
    <row r="58" spans="1:14" x14ac:dyDescent="0.35">
      <c r="A58" s="43" t="str">
        <f t="shared" si="0"/>
        <v/>
      </c>
      <c r="B58" s="44" t="str">
        <f t="shared" si="1"/>
        <v/>
      </c>
      <c r="E58" s="44"/>
      <c r="F58" s="44"/>
      <c r="G58" s="44"/>
      <c r="H58" s="44"/>
      <c r="I58" s="44"/>
      <c r="J58" s="44"/>
      <c r="K58" s="44"/>
      <c r="L58" s="44"/>
      <c r="M58" s="44"/>
      <c r="N58" s="44"/>
    </row>
    <row r="59" spans="1:14" x14ac:dyDescent="0.35">
      <c r="A59" s="43" t="str">
        <f t="shared" si="0"/>
        <v/>
      </c>
      <c r="B59" s="44" t="str">
        <f t="shared" si="1"/>
        <v/>
      </c>
      <c r="E59" s="44"/>
      <c r="F59" s="44"/>
      <c r="G59" s="44"/>
      <c r="H59" s="44"/>
      <c r="I59" s="44"/>
      <c r="J59" s="44"/>
      <c r="K59" s="44"/>
      <c r="L59" s="44"/>
      <c r="M59" s="44"/>
      <c r="N59" s="44"/>
    </row>
    <row r="60" spans="1:14" x14ac:dyDescent="0.35">
      <c r="A60" s="43" t="str">
        <f t="shared" si="0"/>
        <v/>
      </c>
      <c r="B60" s="44" t="str">
        <f t="shared" si="1"/>
        <v/>
      </c>
      <c r="E60" s="44"/>
      <c r="F60" s="44"/>
      <c r="G60" s="44"/>
      <c r="H60" s="44"/>
      <c r="I60" s="44"/>
      <c r="J60" s="44"/>
      <c r="K60" s="44"/>
      <c r="L60" s="44"/>
      <c r="M60" s="44"/>
      <c r="N60" s="44"/>
    </row>
    <row r="61" spans="1:14" x14ac:dyDescent="0.35">
      <c r="A61" s="43" t="str">
        <f t="shared" si="0"/>
        <v/>
      </c>
      <c r="B61" s="44" t="str">
        <f t="shared" si="1"/>
        <v/>
      </c>
      <c r="E61" s="44"/>
      <c r="F61" s="44"/>
      <c r="G61" s="44"/>
      <c r="H61" s="44"/>
      <c r="I61" s="44"/>
      <c r="J61" s="44"/>
      <c r="K61" s="44"/>
      <c r="L61" s="44"/>
      <c r="M61" s="44"/>
      <c r="N61" s="44"/>
    </row>
    <row r="62" spans="1:14" x14ac:dyDescent="0.35">
      <c r="A62" s="43" t="str">
        <f t="shared" si="0"/>
        <v/>
      </c>
      <c r="B62" s="44" t="str">
        <f t="shared" si="1"/>
        <v/>
      </c>
      <c r="E62" s="44"/>
      <c r="F62" s="44"/>
      <c r="G62" s="44"/>
      <c r="H62" s="44"/>
      <c r="I62" s="44"/>
      <c r="J62" s="44"/>
      <c r="K62" s="44"/>
      <c r="L62" s="44"/>
      <c r="M62" s="44"/>
      <c r="N62" s="44"/>
    </row>
    <row r="63" spans="1:14" x14ac:dyDescent="0.35">
      <c r="A63" s="43" t="str">
        <f t="shared" si="0"/>
        <v/>
      </c>
      <c r="B63" s="44" t="str">
        <f t="shared" si="1"/>
        <v/>
      </c>
      <c r="E63" s="44"/>
      <c r="F63" s="44"/>
      <c r="G63" s="44"/>
      <c r="H63" s="44"/>
      <c r="I63" s="44"/>
      <c r="J63" s="44"/>
      <c r="K63" s="44"/>
      <c r="L63" s="44"/>
      <c r="M63" s="44"/>
      <c r="N63" s="44"/>
    </row>
    <row r="64" spans="1:14" x14ac:dyDescent="0.35">
      <c r="A64" s="43" t="str">
        <f t="shared" si="0"/>
        <v/>
      </c>
      <c r="B64" s="44" t="str">
        <f t="shared" si="1"/>
        <v/>
      </c>
      <c r="E64" s="44"/>
      <c r="F64" s="44"/>
      <c r="G64" s="44"/>
      <c r="H64" s="44"/>
      <c r="I64" s="44"/>
      <c r="J64" s="44"/>
      <c r="K64" s="44"/>
      <c r="L64" s="44"/>
      <c r="M64" s="44"/>
      <c r="N64" s="44"/>
    </row>
    <row r="65" spans="1:14" x14ac:dyDescent="0.35">
      <c r="A65" s="43" t="str">
        <f t="shared" si="0"/>
        <v/>
      </c>
      <c r="B65" s="44" t="str">
        <f t="shared" si="1"/>
        <v/>
      </c>
      <c r="E65" s="44"/>
      <c r="F65" s="44"/>
      <c r="G65" s="44"/>
      <c r="H65" s="44"/>
      <c r="I65" s="44"/>
      <c r="J65" s="44"/>
      <c r="K65" s="44"/>
      <c r="L65" s="44"/>
      <c r="M65" s="44"/>
      <c r="N65" s="44"/>
    </row>
    <row r="66" spans="1:14" x14ac:dyDescent="0.35">
      <c r="A66" s="43" t="str">
        <f t="shared" si="0"/>
        <v/>
      </c>
      <c r="B66" s="44" t="str">
        <f t="shared" si="1"/>
        <v/>
      </c>
      <c r="E66" s="44"/>
      <c r="F66" s="44"/>
      <c r="G66" s="44"/>
      <c r="H66" s="44"/>
      <c r="I66" s="44"/>
      <c r="J66" s="44"/>
      <c r="K66" s="44"/>
      <c r="L66" s="44"/>
      <c r="M66" s="44"/>
      <c r="N66" s="44"/>
    </row>
    <row r="67" spans="1:14" x14ac:dyDescent="0.35">
      <c r="A67" s="43" t="str">
        <f t="shared" si="0"/>
        <v/>
      </c>
      <c r="B67" s="44" t="str">
        <f t="shared" si="1"/>
        <v/>
      </c>
      <c r="E67" s="44"/>
      <c r="F67" s="44"/>
      <c r="G67" s="44"/>
      <c r="H67" s="44"/>
      <c r="I67" s="44"/>
      <c r="J67" s="44"/>
      <c r="K67" s="44"/>
      <c r="L67" s="44"/>
      <c r="M67" s="44"/>
      <c r="N67" s="44"/>
    </row>
    <row r="68" spans="1:14" x14ac:dyDescent="0.35">
      <c r="A68" s="43" t="str">
        <f t="shared" si="0"/>
        <v/>
      </c>
      <c r="B68" s="44" t="str">
        <f t="shared" si="1"/>
        <v/>
      </c>
      <c r="E68" s="44"/>
      <c r="F68" s="44"/>
      <c r="G68" s="44"/>
      <c r="H68" s="44"/>
      <c r="I68" s="44"/>
      <c r="J68" s="44"/>
      <c r="K68" s="44"/>
      <c r="L68" s="44"/>
      <c r="M68" s="44"/>
      <c r="N68" s="44"/>
    </row>
    <row r="69" spans="1:14" x14ac:dyDescent="0.35">
      <c r="A69" s="43" t="str">
        <f t="shared" ref="A69:A109" si="2">IF(J69="","",100*E69/J69)</f>
        <v/>
      </c>
      <c r="B69" s="44" t="str">
        <f t="shared" ref="B69:B109" si="3">IF(G69="","",100*E69/G69)</f>
        <v/>
      </c>
      <c r="E69" s="44"/>
      <c r="F69" s="44"/>
      <c r="G69" s="44"/>
      <c r="H69" s="44"/>
      <c r="I69" s="44"/>
      <c r="J69" s="44"/>
      <c r="K69" s="44"/>
      <c r="L69" s="44"/>
      <c r="M69" s="44"/>
      <c r="N69" s="44"/>
    </row>
    <row r="70" spans="1:14" x14ac:dyDescent="0.35">
      <c r="A70" s="43" t="str">
        <f t="shared" si="2"/>
        <v/>
      </c>
      <c r="B70" s="44" t="str">
        <f t="shared" si="3"/>
        <v/>
      </c>
      <c r="E70" s="44"/>
      <c r="F70" s="44"/>
      <c r="G70" s="44"/>
      <c r="H70" s="44"/>
      <c r="I70" s="44"/>
      <c r="J70" s="44"/>
      <c r="K70" s="44"/>
      <c r="L70" s="44"/>
      <c r="M70" s="44"/>
      <c r="N70" s="44"/>
    </row>
    <row r="71" spans="1:14" x14ac:dyDescent="0.35">
      <c r="A71" s="43" t="str">
        <f t="shared" si="2"/>
        <v/>
      </c>
      <c r="B71" s="44" t="str">
        <f t="shared" si="3"/>
        <v/>
      </c>
      <c r="E71" s="44"/>
      <c r="F71" s="44"/>
      <c r="G71" s="44"/>
      <c r="H71" s="44"/>
      <c r="I71" s="44"/>
      <c r="J71" s="44"/>
      <c r="K71" s="44"/>
      <c r="L71" s="44"/>
      <c r="M71" s="44"/>
      <c r="N71" s="44"/>
    </row>
    <row r="72" spans="1:14" x14ac:dyDescent="0.35">
      <c r="A72" s="43" t="str">
        <f t="shared" si="2"/>
        <v/>
      </c>
      <c r="B72" s="44" t="str">
        <f t="shared" si="3"/>
        <v/>
      </c>
      <c r="E72" s="44"/>
      <c r="F72" s="44"/>
      <c r="G72" s="44"/>
      <c r="H72" s="44"/>
      <c r="I72" s="44"/>
      <c r="J72" s="44"/>
      <c r="K72" s="44"/>
      <c r="L72" s="44"/>
      <c r="M72" s="44"/>
      <c r="N72" s="44"/>
    </row>
    <row r="73" spans="1:14" x14ac:dyDescent="0.35">
      <c r="A73" s="43" t="str">
        <f t="shared" si="2"/>
        <v/>
      </c>
      <c r="B73" s="44" t="str">
        <f t="shared" si="3"/>
        <v/>
      </c>
      <c r="E73" s="44"/>
      <c r="F73" s="44"/>
      <c r="G73" s="44"/>
      <c r="H73" s="44"/>
      <c r="I73" s="44"/>
      <c r="J73" s="44"/>
      <c r="K73" s="44"/>
      <c r="L73" s="44"/>
      <c r="M73" s="44"/>
      <c r="N73" s="44"/>
    </row>
    <row r="74" spans="1:14" x14ac:dyDescent="0.35">
      <c r="A74" s="43" t="str">
        <f t="shared" si="2"/>
        <v/>
      </c>
      <c r="B74" s="44" t="str">
        <f t="shared" si="3"/>
        <v/>
      </c>
      <c r="E74" s="44"/>
      <c r="F74" s="44"/>
      <c r="G74" s="44"/>
      <c r="H74" s="44"/>
      <c r="I74" s="44"/>
      <c r="J74" s="44"/>
      <c r="K74" s="44"/>
      <c r="L74" s="44"/>
      <c r="M74" s="44"/>
      <c r="N74" s="44"/>
    </row>
    <row r="75" spans="1:14" x14ac:dyDescent="0.35">
      <c r="A75" s="43" t="str">
        <f t="shared" si="2"/>
        <v/>
      </c>
      <c r="B75" s="44" t="str">
        <f t="shared" si="3"/>
        <v/>
      </c>
      <c r="E75" s="44"/>
      <c r="F75" s="44"/>
      <c r="G75" s="44"/>
      <c r="H75" s="44"/>
      <c r="I75" s="44"/>
      <c r="J75" s="44"/>
      <c r="K75" s="44"/>
      <c r="L75" s="44"/>
      <c r="M75" s="44"/>
      <c r="N75" s="44"/>
    </row>
    <row r="76" spans="1:14" x14ac:dyDescent="0.35">
      <c r="A76" s="43" t="str">
        <f t="shared" si="2"/>
        <v/>
      </c>
      <c r="B76" s="44" t="str">
        <f t="shared" si="3"/>
        <v/>
      </c>
      <c r="E76" s="44"/>
      <c r="F76" s="44"/>
      <c r="G76" s="44"/>
      <c r="H76" s="44"/>
      <c r="I76" s="44"/>
      <c r="J76" s="44"/>
      <c r="K76" s="44"/>
      <c r="L76" s="44"/>
      <c r="M76" s="44"/>
      <c r="N76" s="44"/>
    </row>
    <row r="77" spans="1:14" x14ac:dyDescent="0.35">
      <c r="A77" s="43" t="str">
        <f t="shared" si="2"/>
        <v/>
      </c>
      <c r="B77" s="44" t="str">
        <f t="shared" si="3"/>
        <v/>
      </c>
      <c r="E77" s="44"/>
      <c r="F77" s="44"/>
      <c r="G77" s="44"/>
      <c r="H77" s="44"/>
      <c r="I77" s="44"/>
      <c r="J77" s="44"/>
      <c r="K77" s="44"/>
      <c r="L77" s="44"/>
      <c r="M77" s="44"/>
      <c r="N77" s="44"/>
    </row>
    <row r="78" spans="1:14" x14ac:dyDescent="0.35">
      <c r="A78" s="43" t="str">
        <f t="shared" si="2"/>
        <v/>
      </c>
      <c r="B78" s="44" t="str">
        <f t="shared" si="3"/>
        <v/>
      </c>
      <c r="E78" s="44"/>
      <c r="F78" s="44"/>
      <c r="G78" s="44"/>
      <c r="H78" s="44"/>
      <c r="I78" s="44"/>
      <c r="J78" s="44"/>
      <c r="K78" s="44"/>
      <c r="L78" s="44"/>
      <c r="M78" s="44"/>
      <c r="N78" s="44"/>
    </row>
    <row r="79" spans="1:14" x14ac:dyDescent="0.35">
      <c r="A79" s="43" t="str">
        <f t="shared" si="2"/>
        <v/>
      </c>
      <c r="B79" s="44" t="str">
        <f t="shared" si="3"/>
        <v/>
      </c>
      <c r="E79" s="44"/>
      <c r="F79" s="44"/>
      <c r="G79" s="44"/>
      <c r="H79" s="44"/>
      <c r="I79" s="44"/>
      <c r="J79" s="44"/>
      <c r="K79" s="44"/>
      <c r="L79" s="44"/>
      <c r="M79" s="44"/>
      <c r="N79" s="44"/>
    </row>
    <row r="80" spans="1:14" x14ac:dyDescent="0.35">
      <c r="A80" s="43" t="str">
        <f t="shared" si="2"/>
        <v/>
      </c>
      <c r="B80" s="44" t="str">
        <f t="shared" si="3"/>
        <v/>
      </c>
      <c r="E80" s="44"/>
      <c r="F80" s="44"/>
      <c r="G80" s="44"/>
      <c r="H80" s="44"/>
      <c r="I80" s="44"/>
      <c r="J80" s="44"/>
      <c r="K80" s="44"/>
      <c r="L80" s="44"/>
      <c r="M80" s="44"/>
      <c r="N80" s="44"/>
    </row>
    <row r="81" spans="1:14" x14ac:dyDescent="0.35">
      <c r="A81" s="43" t="str">
        <f t="shared" si="2"/>
        <v/>
      </c>
      <c r="B81" s="44" t="str">
        <f t="shared" si="3"/>
        <v/>
      </c>
      <c r="E81" s="44"/>
      <c r="F81" s="44"/>
      <c r="G81" s="44"/>
      <c r="H81" s="44"/>
      <c r="I81" s="44"/>
      <c r="J81" s="44"/>
      <c r="K81" s="44"/>
      <c r="L81" s="44"/>
      <c r="M81" s="44"/>
      <c r="N81" s="44"/>
    </row>
    <row r="82" spans="1:14" x14ac:dyDescent="0.35">
      <c r="A82" s="43" t="str">
        <f t="shared" si="2"/>
        <v/>
      </c>
      <c r="B82" s="44" t="str">
        <f t="shared" si="3"/>
        <v/>
      </c>
      <c r="E82" s="44"/>
      <c r="F82" s="44"/>
      <c r="G82" s="44"/>
      <c r="H82" s="44"/>
      <c r="I82" s="44"/>
      <c r="J82" s="44"/>
      <c r="K82" s="44"/>
      <c r="L82" s="44"/>
      <c r="M82" s="44"/>
      <c r="N82" s="44"/>
    </row>
    <row r="83" spans="1:14" x14ac:dyDescent="0.35">
      <c r="A83" s="43" t="str">
        <f t="shared" si="2"/>
        <v/>
      </c>
      <c r="B83" s="44" t="str">
        <f t="shared" si="3"/>
        <v/>
      </c>
      <c r="E83" s="44"/>
      <c r="F83" s="44"/>
      <c r="G83" s="44"/>
      <c r="H83" s="44"/>
      <c r="I83" s="44"/>
      <c r="J83" s="44"/>
      <c r="K83" s="44"/>
      <c r="L83" s="44"/>
      <c r="M83" s="44"/>
      <c r="N83" s="44"/>
    </row>
    <row r="84" spans="1:14" x14ac:dyDescent="0.35">
      <c r="A84" s="43" t="str">
        <f t="shared" si="2"/>
        <v/>
      </c>
      <c r="B84" s="44" t="str">
        <f t="shared" si="3"/>
        <v/>
      </c>
      <c r="E84" s="44"/>
      <c r="F84" s="44"/>
      <c r="G84" s="44"/>
      <c r="H84" s="44"/>
      <c r="I84" s="44"/>
      <c r="J84" s="44"/>
      <c r="K84" s="44"/>
      <c r="L84" s="44"/>
      <c r="M84" s="44"/>
      <c r="N84" s="44"/>
    </row>
    <row r="85" spans="1:14" x14ac:dyDescent="0.35">
      <c r="A85" s="43" t="str">
        <f t="shared" si="2"/>
        <v/>
      </c>
      <c r="B85" s="44" t="str">
        <f t="shared" si="3"/>
        <v/>
      </c>
      <c r="E85" s="44"/>
      <c r="F85" s="44"/>
      <c r="G85" s="44"/>
      <c r="H85" s="44"/>
      <c r="I85" s="44"/>
      <c r="J85" s="44"/>
      <c r="K85" s="44"/>
      <c r="L85" s="44"/>
      <c r="M85" s="44"/>
      <c r="N85" s="44"/>
    </row>
    <row r="86" spans="1:14" x14ac:dyDescent="0.35">
      <c r="A86" s="43" t="str">
        <f t="shared" si="2"/>
        <v/>
      </c>
      <c r="B86" s="44" t="str">
        <f t="shared" si="3"/>
        <v/>
      </c>
      <c r="E86" s="44"/>
      <c r="F86" s="44"/>
      <c r="G86" s="44"/>
      <c r="H86" s="44"/>
      <c r="I86" s="44"/>
      <c r="J86" s="44"/>
      <c r="K86" s="44"/>
      <c r="L86" s="44"/>
      <c r="M86" s="44"/>
      <c r="N86" s="44"/>
    </row>
    <row r="87" spans="1:14" x14ac:dyDescent="0.35">
      <c r="A87" s="43" t="str">
        <f t="shared" si="2"/>
        <v/>
      </c>
      <c r="B87" s="44" t="str">
        <f t="shared" si="3"/>
        <v/>
      </c>
      <c r="E87" s="44"/>
      <c r="F87" s="44"/>
      <c r="G87" s="44"/>
      <c r="H87" s="44"/>
      <c r="I87" s="44"/>
      <c r="J87" s="44"/>
      <c r="K87" s="44"/>
      <c r="L87" s="44"/>
      <c r="M87" s="44"/>
      <c r="N87" s="44"/>
    </row>
    <row r="88" spans="1:14" x14ac:dyDescent="0.35">
      <c r="A88" s="43" t="str">
        <f t="shared" si="2"/>
        <v/>
      </c>
      <c r="B88" s="44" t="str">
        <f t="shared" si="3"/>
        <v/>
      </c>
      <c r="E88" s="70"/>
      <c r="F88" s="70"/>
      <c r="G88" s="70"/>
      <c r="H88" s="70"/>
      <c r="I88" s="70"/>
      <c r="J88" s="70"/>
      <c r="K88" s="70"/>
      <c r="L88" s="70"/>
      <c r="M88" s="70"/>
      <c r="N88" s="70"/>
    </row>
    <row r="89" spans="1:14" x14ac:dyDescent="0.35">
      <c r="A89" s="43" t="str">
        <f t="shared" si="2"/>
        <v/>
      </c>
      <c r="B89" s="44" t="str">
        <f t="shared" si="3"/>
        <v/>
      </c>
      <c r="E89" s="70"/>
      <c r="F89" s="70"/>
      <c r="G89" s="70"/>
      <c r="H89" s="70"/>
      <c r="I89" s="70"/>
      <c r="J89" s="70"/>
      <c r="K89" s="70"/>
      <c r="L89" s="70"/>
      <c r="M89" s="70"/>
      <c r="N89" s="70"/>
    </row>
    <row r="90" spans="1:14" x14ac:dyDescent="0.35">
      <c r="A90" s="43" t="str">
        <f t="shared" si="2"/>
        <v/>
      </c>
      <c r="B90" s="44" t="str">
        <f t="shared" si="3"/>
        <v/>
      </c>
      <c r="E90" s="70"/>
      <c r="F90" s="70"/>
      <c r="G90" s="70"/>
      <c r="H90" s="70"/>
      <c r="I90" s="70"/>
      <c r="J90" s="70"/>
      <c r="K90" s="70"/>
      <c r="L90" s="70"/>
      <c r="M90" s="70"/>
      <c r="N90" s="70"/>
    </row>
    <row r="91" spans="1:14" x14ac:dyDescent="0.35">
      <c r="A91" s="43" t="str">
        <f t="shared" si="2"/>
        <v/>
      </c>
      <c r="B91" s="44" t="str">
        <f t="shared" si="3"/>
        <v/>
      </c>
      <c r="E91" s="70"/>
      <c r="F91" s="70"/>
      <c r="G91" s="70"/>
      <c r="H91" s="70"/>
      <c r="I91" s="70"/>
      <c r="J91" s="70"/>
      <c r="K91" s="70"/>
      <c r="L91" s="70"/>
      <c r="M91" s="70"/>
      <c r="N91" s="70"/>
    </row>
    <row r="92" spans="1:14" x14ac:dyDescent="0.35">
      <c r="A92" s="43" t="str">
        <f t="shared" si="2"/>
        <v/>
      </c>
      <c r="B92" s="44" t="str">
        <f t="shared" si="3"/>
        <v/>
      </c>
      <c r="E92" s="70"/>
      <c r="F92" s="70"/>
      <c r="G92" s="70"/>
      <c r="H92" s="70"/>
      <c r="I92" s="70"/>
      <c r="J92" s="70"/>
      <c r="K92" s="70"/>
      <c r="L92" s="70"/>
      <c r="M92" s="70"/>
      <c r="N92" s="70"/>
    </row>
    <row r="93" spans="1:14" x14ac:dyDescent="0.35">
      <c r="A93" s="43" t="str">
        <f t="shared" si="2"/>
        <v/>
      </c>
      <c r="B93" s="44" t="str">
        <f t="shared" si="3"/>
        <v/>
      </c>
    </row>
    <row r="94" spans="1:14" x14ac:dyDescent="0.35">
      <c r="A94" s="43" t="str">
        <f t="shared" si="2"/>
        <v/>
      </c>
      <c r="B94" s="44" t="str">
        <f t="shared" si="3"/>
        <v/>
      </c>
    </row>
    <row r="95" spans="1:14" x14ac:dyDescent="0.35">
      <c r="A95" s="43" t="str">
        <f t="shared" si="2"/>
        <v/>
      </c>
      <c r="B95" s="44" t="str">
        <f t="shared" si="3"/>
        <v/>
      </c>
    </row>
    <row r="96" spans="1:14" x14ac:dyDescent="0.35">
      <c r="A96" s="43" t="str">
        <f t="shared" si="2"/>
        <v/>
      </c>
      <c r="B96" s="44" t="str">
        <f t="shared" si="3"/>
        <v/>
      </c>
    </row>
    <row r="97" spans="1:2" x14ac:dyDescent="0.35">
      <c r="A97" s="43" t="str">
        <f t="shared" si="2"/>
        <v/>
      </c>
      <c r="B97" s="44" t="str">
        <f t="shared" si="3"/>
        <v/>
      </c>
    </row>
    <row r="98" spans="1:2" x14ac:dyDescent="0.35">
      <c r="A98" s="43" t="str">
        <f t="shared" si="2"/>
        <v/>
      </c>
      <c r="B98" s="44" t="str">
        <f t="shared" si="3"/>
        <v/>
      </c>
    </row>
    <row r="99" spans="1:2" x14ac:dyDescent="0.35">
      <c r="A99" s="43" t="str">
        <f t="shared" si="2"/>
        <v/>
      </c>
      <c r="B99" s="44" t="str">
        <f t="shared" si="3"/>
        <v/>
      </c>
    </row>
    <row r="100" spans="1:2" x14ac:dyDescent="0.35">
      <c r="A100" s="43" t="str">
        <f t="shared" si="2"/>
        <v/>
      </c>
      <c r="B100" s="44" t="str">
        <f t="shared" si="3"/>
        <v/>
      </c>
    </row>
    <row r="101" spans="1:2" x14ac:dyDescent="0.35">
      <c r="A101" s="43" t="str">
        <f t="shared" si="2"/>
        <v/>
      </c>
      <c r="B101" s="44" t="str">
        <f t="shared" si="3"/>
        <v/>
      </c>
    </row>
    <row r="102" spans="1:2" x14ac:dyDescent="0.35">
      <c r="A102" s="43" t="str">
        <f t="shared" si="2"/>
        <v/>
      </c>
      <c r="B102" s="44" t="str">
        <f t="shared" si="3"/>
        <v/>
      </c>
    </row>
    <row r="103" spans="1:2" x14ac:dyDescent="0.35">
      <c r="A103" s="43" t="str">
        <f t="shared" si="2"/>
        <v/>
      </c>
      <c r="B103" s="44" t="str">
        <f t="shared" si="3"/>
        <v/>
      </c>
    </row>
    <row r="104" spans="1:2" x14ac:dyDescent="0.35">
      <c r="A104" s="43" t="str">
        <f t="shared" si="2"/>
        <v/>
      </c>
      <c r="B104" s="44" t="str">
        <f t="shared" si="3"/>
        <v/>
      </c>
    </row>
    <row r="105" spans="1:2" x14ac:dyDescent="0.35">
      <c r="A105" s="43" t="str">
        <f t="shared" si="2"/>
        <v/>
      </c>
      <c r="B105" s="44" t="str">
        <f t="shared" si="3"/>
        <v/>
      </c>
    </row>
    <row r="106" spans="1:2" x14ac:dyDescent="0.35">
      <c r="A106" s="43" t="str">
        <f t="shared" si="2"/>
        <v/>
      </c>
      <c r="B106" s="44" t="str">
        <f t="shared" si="3"/>
        <v/>
      </c>
    </row>
    <row r="107" spans="1:2" x14ac:dyDescent="0.35">
      <c r="A107" s="43" t="str">
        <f t="shared" si="2"/>
        <v/>
      </c>
      <c r="B107" s="44" t="str">
        <f t="shared" si="3"/>
        <v/>
      </c>
    </row>
    <row r="108" spans="1:2" x14ac:dyDescent="0.35">
      <c r="A108" s="43" t="str">
        <f t="shared" si="2"/>
        <v/>
      </c>
      <c r="B108" s="44" t="str">
        <f t="shared" si="3"/>
        <v/>
      </c>
    </row>
    <row r="109" spans="1:2" x14ac:dyDescent="0.35">
      <c r="A109" s="43" t="str">
        <f t="shared" si="2"/>
        <v/>
      </c>
      <c r="B109" s="44" t="str">
        <f t="shared" si="3"/>
        <v/>
      </c>
    </row>
  </sheetData>
  <sortState ref="C4:N41">
    <sortCondition descending="1" ref="F4:F41"/>
  </sortState>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5065-D996-457F-8EBA-3EFFA9EF6380}">
  <dimension ref="A1:AN64"/>
  <sheetViews>
    <sheetView workbookViewId="0">
      <selection activeCell="C2" sqref="C2"/>
    </sheetView>
  </sheetViews>
  <sheetFormatPr defaultRowHeight="14.5" x14ac:dyDescent="0.35"/>
  <cols>
    <col min="1" max="1" width="15.7265625" customWidth="1"/>
    <col min="2" max="2" width="13.90625" customWidth="1"/>
    <col min="3" max="3" width="13.453125" customWidth="1"/>
    <col min="4" max="4" width="21.1796875" customWidth="1"/>
    <col min="5" max="5" width="13" customWidth="1"/>
    <col min="6" max="6" width="16.81640625" customWidth="1"/>
    <col min="7" max="7" width="15.08984375" customWidth="1"/>
    <col min="8" max="8" width="13.6328125" customWidth="1"/>
    <col min="9" max="9" width="13.08984375" customWidth="1"/>
    <col min="10" max="10" width="12.453125" customWidth="1"/>
    <col min="11" max="11" width="16.453125" customWidth="1"/>
    <col min="12" max="12" width="15.453125" customWidth="1"/>
    <col min="13" max="14" width="13.81640625" customWidth="1"/>
  </cols>
  <sheetData>
    <row r="1" spans="1:40" ht="21" x14ac:dyDescent="0.5">
      <c r="A1" s="32" t="s">
        <v>539</v>
      </c>
    </row>
    <row r="2" spans="1:40" x14ac:dyDescent="0.35">
      <c r="C2" t="s">
        <v>942</v>
      </c>
      <c r="D2" s="4" t="s">
        <v>531</v>
      </c>
      <c r="E2" s="4"/>
    </row>
    <row r="3" spans="1:40" ht="44.5" x14ac:dyDescent="0.45">
      <c r="A3" s="45" t="s">
        <v>529</v>
      </c>
      <c r="B3" s="45" t="s">
        <v>530</v>
      </c>
      <c r="C3" s="46" t="s">
        <v>37</v>
      </c>
      <c r="D3" s="47" t="s">
        <v>38</v>
      </c>
      <c r="E3" s="48" t="s">
        <v>432</v>
      </c>
      <c r="F3" s="48" t="s">
        <v>439</v>
      </c>
      <c r="G3" s="48" t="s">
        <v>434</v>
      </c>
      <c r="H3" s="48" t="s">
        <v>431</v>
      </c>
      <c r="I3" s="48" t="s">
        <v>433</v>
      </c>
      <c r="J3" s="48" t="s">
        <v>435</v>
      </c>
      <c r="K3" s="48" t="s">
        <v>440</v>
      </c>
      <c r="L3" s="48" t="s">
        <v>436</v>
      </c>
      <c r="M3" s="48" t="s">
        <v>437</v>
      </c>
      <c r="N3" s="48" t="s">
        <v>438</v>
      </c>
    </row>
    <row r="4" spans="1:40" ht="18.5" x14ac:dyDescent="0.35">
      <c r="A4" s="43" t="str">
        <f>IF(J4="","",100*E4/J4)</f>
        <v/>
      </c>
      <c r="B4" s="44">
        <f>IF(G4="","",100*E4/G4)</f>
        <v>73.466666666666669</v>
      </c>
      <c r="C4" s="49" t="s">
        <v>35</v>
      </c>
      <c r="D4" s="50" t="s">
        <v>57</v>
      </c>
      <c r="E4" s="51">
        <v>1102</v>
      </c>
      <c r="F4" s="53">
        <v>81.448632668144867</v>
      </c>
      <c r="G4" s="51">
        <v>1500</v>
      </c>
      <c r="H4" s="51">
        <v>450</v>
      </c>
      <c r="I4" s="51">
        <v>560</v>
      </c>
      <c r="J4" s="51"/>
      <c r="K4" s="53"/>
      <c r="L4" s="51">
        <v>980</v>
      </c>
      <c r="M4" s="51"/>
      <c r="N4" s="51">
        <v>535</v>
      </c>
      <c r="O4" s="35"/>
      <c r="P4" s="35"/>
      <c r="Q4" s="35"/>
      <c r="R4" s="35"/>
      <c r="S4" s="35"/>
      <c r="T4" s="35"/>
      <c r="U4" s="35"/>
      <c r="V4" s="35"/>
      <c r="W4" s="35"/>
      <c r="X4" s="35"/>
      <c r="Y4" s="35"/>
      <c r="Z4" s="35"/>
      <c r="AA4" s="35"/>
      <c r="AB4" s="35"/>
      <c r="AC4" s="35"/>
      <c r="AD4" s="35"/>
      <c r="AE4" s="35"/>
      <c r="AF4" s="35"/>
      <c r="AG4" s="35"/>
      <c r="AH4" s="35"/>
      <c r="AI4" s="35"/>
      <c r="AJ4" s="35"/>
      <c r="AK4" s="35"/>
      <c r="AL4" s="35"/>
      <c r="AM4" s="35"/>
      <c r="AN4" s="35"/>
    </row>
    <row r="5" spans="1:40" ht="18.5" x14ac:dyDescent="0.35">
      <c r="A5" s="43">
        <f>IF(J5="","",100*E5/J5)</f>
        <v>160.66066066066065</v>
      </c>
      <c r="B5" s="44">
        <f t="shared" ref="B5:B35" si="0">IF(G5="","",100*E5/G5)</f>
        <v>62.281722933643771</v>
      </c>
      <c r="C5" s="49" t="s">
        <v>172</v>
      </c>
      <c r="D5" s="50" t="s">
        <v>173</v>
      </c>
      <c r="E5" s="51">
        <v>535</v>
      </c>
      <c r="F5" s="53">
        <v>79.259259259259252</v>
      </c>
      <c r="G5" s="51">
        <v>859</v>
      </c>
      <c r="H5" s="51"/>
      <c r="I5" s="51">
        <v>408</v>
      </c>
      <c r="J5" s="51">
        <v>333</v>
      </c>
      <c r="K5" s="53">
        <v>49.333333333333336</v>
      </c>
      <c r="L5" s="51">
        <v>887</v>
      </c>
      <c r="M5" s="51"/>
      <c r="N5" s="51">
        <v>379</v>
      </c>
      <c r="O5" s="35"/>
      <c r="P5" s="35"/>
      <c r="Q5" s="35"/>
      <c r="R5" s="35"/>
      <c r="S5" s="35"/>
      <c r="T5" s="35"/>
      <c r="U5" s="35"/>
      <c r="V5" s="35"/>
      <c r="W5" s="35"/>
      <c r="X5" s="35"/>
      <c r="Y5" s="35"/>
      <c r="Z5" s="35"/>
      <c r="AA5" s="35"/>
      <c r="AB5" s="35"/>
      <c r="AC5" s="35"/>
      <c r="AD5" s="35"/>
      <c r="AE5" s="35"/>
      <c r="AF5" s="35"/>
      <c r="AG5" s="35"/>
      <c r="AH5" s="35"/>
      <c r="AI5" s="35"/>
      <c r="AJ5" s="35"/>
      <c r="AK5" s="35"/>
      <c r="AL5" s="35"/>
      <c r="AM5" s="35"/>
      <c r="AN5" s="35"/>
    </row>
    <row r="6" spans="1:40" ht="18.5" x14ac:dyDescent="0.35">
      <c r="A6" s="43" t="str">
        <f t="shared" ref="A6:A35" si="1">IF(J6="","",100*E6/J6)</f>
        <v/>
      </c>
      <c r="B6" s="44">
        <f t="shared" si="0"/>
        <v>78.369195922989803</v>
      </c>
      <c r="C6" s="49" t="s">
        <v>201</v>
      </c>
      <c r="D6" s="50" t="s">
        <v>202</v>
      </c>
      <c r="E6" s="51">
        <v>692</v>
      </c>
      <c r="F6" s="53">
        <v>78.636363636363626</v>
      </c>
      <c r="G6" s="51">
        <v>883</v>
      </c>
      <c r="H6" s="51"/>
      <c r="I6" s="51"/>
      <c r="J6" s="51"/>
      <c r="K6" s="53"/>
      <c r="L6" s="51"/>
      <c r="M6" s="51"/>
      <c r="N6" s="51"/>
      <c r="O6" s="35"/>
      <c r="P6" s="35"/>
      <c r="Q6" s="35"/>
      <c r="R6" s="35"/>
      <c r="S6" s="35"/>
      <c r="T6" s="35"/>
      <c r="U6" s="35"/>
      <c r="V6" s="35"/>
      <c r="W6" s="35"/>
      <c r="X6" s="35"/>
      <c r="Y6" s="35"/>
      <c r="Z6" s="35"/>
      <c r="AA6" s="35"/>
      <c r="AB6" s="35"/>
      <c r="AC6" s="35"/>
      <c r="AD6" s="35"/>
      <c r="AE6" s="35"/>
      <c r="AF6" s="35"/>
      <c r="AG6" s="35"/>
      <c r="AH6" s="35"/>
      <c r="AI6" s="35"/>
      <c r="AJ6" s="35"/>
      <c r="AK6" s="35"/>
      <c r="AL6" s="35"/>
      <c r="AM6" s="35"/>
      <c r="AN6" s="35"/>
    </row>
    <row r="7" spans="1:40" ht="18.5" x14ac:dyDescent="0.35">
      <c r="A7" s="43">
        <f t="shared" si="1"/>
        <v>276.70807453416148</v>
      </c>
      <c r="B7" s="44">
        <f t="shared" si="0"/>
        <v>62.307692307692307</v>
      </c>
      <c r="C7" s="49" t="s">
        <v>240</v>
      </c>
      <c r="D7" s="50" t="s">
        <v>143</v>
      </c>
      <c r="E7" s="51">
        <v>891</v>
      </c>
      <c r="F7" s="53">
        <v>78.15789473684211</v>
      </c>
      <c r="G7" s="51">
        <v>1430</v>
      </c>
      <c r="H7" s="51"/>
      <c r="I7" s="51">
        <v>761</v>
      </c>
      <c r="J7" s="51">
        <v>322</v>
      </c>
      <c r="K7" s="53">
        <v>28.245614035087719</v>
      </c>
      <c r="L7" s="51">
        <v>1444</v>
      </c>
      <c r="M7" s="51"/>
      <c r="N7" s="51"/>
      <c r="O7" s="35"/>
      <c r="P7" s="35"/>
      <c r="Q7" s="35"/>
      <c r="R7" s="35"/>
      <c r="S7" s="35"/>
      <c r="T7" s="35"/>
      <c r="U7" s="35"/>
      <c r="V7" s="35"/>
      <c r="W7" s="35"/>
      <c r="X7" s="35"/>
      <c r="Y7" s="35"/>
      <c r="Z7" s="35"/>
      <c r="AA7" s="35"/>
      <c r="AB7" s="35"/>
      <c r="AC7" s="35"/>
      <c r="AD7" s="35"/>
      <c r="AE7" s="35"/>
      <c r="AF7" s="35"/>
      <c r="AG7" s="35"/>
      <c r="AH7" s="35"/>
      <c r="AI7" s="35"/>
      <c r="AJ7" s="35"/>
      <c r="AK7" s="35"/>
      <c r="AL7" s="35"/>
      <c r="AM7" s="35"/>
      <c r="AN7" s="35"/>
    </row>
    <row r="8" spans="1:40" ht="18.5" x14ac:dyDescent="0.35">
      <c r="A8" s="43">
        <f t="shared" si="1"/>
        <v>320.68965517241378</v>
      </c>
      <c r="B8" s="44" t="str">
        <f t="shared" si="0"/>
        <v/>
      </c>
      <c r="C8" s="49" t="s">
        <v>142</v>
      </c>
      <c r="D8" s="50" t="s">
        <v>143</v>
      </c>
      <c r="E8" s="51">
        <v>930</v>
      </c>
      <c r="F8" s="53">
        <v>77.5</v>
      </c>
      <c r="G8" s="51"/>
      <c r="H8" s="51"/>
      <c r="I8" s="51"/>
      <c r="J8" s="51">
        <v>290</v>
      </c>
      <c r="K8" s="53">
        <v>24.166666666666668</v>
      </c>
      <c r="L8" s="51"/>
      <c r="M8" s="51"/>
      <c r="N8" s="51"/>
      <c r="O8" s="35"/>
      <c r="P8" s="35"/>
      <c r="Q8" s="35"/>
      <c r="R8" s="35"/>
      <c r="S8" s="35"/>
      <c r="T8" s="35"/>
      <c r="U8" s="35"/>
      <c r="V8" s="35"/>
      <c r="W8" s="35"/>
      <c r="X8" s="35"/>
      <c r="Y8" s="35"/>
      <c r="Z8" s="35"/>
      <c r="AA8" s="35"/>
      <c r="AB8" s="35"/>
      <c r="AC8" s="35"/>
      <c r="AD8" s="35"/>
      <c r="AE8" s="35"/>
      <c r="AF8" s="35"/>
      <c r="AG8" s="35"/>
      <c r="AH8" s="35"/>
      <c r="AI8" s="35"/>
      <c r="AJ8" s="35"/>
      <c r="AK8" s="35"/>
      <c r="AL8" s="35"/>
      <c r="AM8" s="35"/>
      <c r="AN8" s="35"/>
    </row>
    <row r="9" spans="1:40" ht="18.5" x14ac:dyDescent="0.45">
      <c r="A9" s="43" t="str">
        <f t="shared" si="1"/>
        <v/>
      </c>
      <c r="B9" s="44">
        <f t="shared" si="0"/>
        <v>120.35502958579882</v>
      </c>
      <c r="C9" s="46" t="s">
        <v>17</v>
      </c>
      <c r="D9" s="52" t="s">
        <v>56</v>
      </c>
      <c r="E9" s="51">
        <v>1017</v>
      </c>
      <c r="F9" s="53">
        <v>76.581325301204828</v>
      </c>
      <c r="G9" s="51">
        <v>845</v>
      </c>
      <c r="H9" s="51" t="s">
        <v>469</v>
      </c>
      <c r="I9" s="51"/>
      <c r="J9" s="51"/>
      <c r="K9" s="53"/>
      <c r="L9" s="51"/>
      <c r="M9" s="51"/>
      <c r="N9" s="51"/>
      <c r="O9" s="35"/>
      <c r="P9" s="35"/>
      <c r="Q9" s="35"/>
      <c r="R9" s="35"/>
      <c r="S9" s="35"/>
      <c r="T9" s="35"/>
      <c r="U9" s="35"/>
      <c r="V9" s="35"/>
      <c r="W9" s="35"/>
      <c r="X9" s="35"/>
      <c r="Y9" s="35"/>
      <c r="Z9" s="35"/>
      <c r="AA9" s="35"/>
      <c r="AB9" s="35"/>
      <c r="AC9" s="35"/>
      <c r="AD9" s="35"/>
      <c r="AE9" s="35"/>
      <c r="AF9" s="35"/>
      <c r="AG9" s="35"/>
      <c r="AH9" s="35"/>
      <c r="AI9" s="35"/>
      <c r="AJ9" s="35"/>
      <c r="AK9" s="35"/>
      <c r="AL9" s="35"/>
      <c r="AM9" s="35"/>
      <c r="AN9" s="35"/>
    </row>
    <row r="10" spans="1:40" ht="18.5" x14ac:dyDescent="0.35">
      <c r="A10" s="43">
        <f t="shared" si="1"/>
        <v>161.70731707317074</v>
      </c>
      <c r="B10" s="44">
        <f t="shared" si="0"/>
        <v>51.435221101629168</v>
      </c>
      <c r="C10" s="49" t="s">
        <v>26</v>
      </c>
      <c r="D10" s="50" t="s">
        <v>27</v>
      </c>
      <c r="E10" s="51">
        <v>663</v>
      </c>
      <c r="F10" s="53">
        <v>73.50332594235033</v>
      </c>
      <c r="G10" s="51">
        <v>1289</v>
      </c>
      <c r="H10" s="51"/>
      <c r="I10" s="51"/>
      <c r="J10" s="51">
        <v>410</v>
      </c>
      <c r="K10" s="53">
        <v>45.454545454545453</v>
      </c>
      <c r="L10" s="51"/>
      <c r="M10" s="51"/>
      <c r="N10" s="51"/>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row>
    <row r="11" spans="1:40" ht="18.5" x14ac:dyDescent="0.35">
      <c r="A11" s="43">
        <f t="shared" si="1"/>
        <v>224.86033519553072</v>
      </c>
      <c r="B11" s="44">
        <f t="shared" si="0"/>
        <v>60.984848484848484</v>
      </c>
      <c r="C11" s="49" t="s">
        <v>152</v>
      </c>
      <c r="D11" s="50" t="s">
        <v>159</v>
      </c>
      <c r="E11" s="35">
        <v>805</v>
      </c>
      <c r="F11" s="54">
        <v>67.533557046979865</v>
      </c>
      <c r="G11" s="35">
        <v>1320</v>
      </c>
      <c r="H11" s="35"/>
      <c r="I11" s="35">
        <v>846</v>
      </c>
      <c r="J11" s="35">
        <v>358</v>
      </c>
      <c r="K11" s="54">
        <v>30.033557046979865</v>
      </c>
      <c r="L11" s="35">
        <v>1290</v>
      </c>
      <c r="M11" s="35"/>
      <c r="N11" s="35">
        <v>912</v>
      </c>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row>
    <row r="12" spans="1:40" ht="18.5" x14ac:dyDescent="0.35">
      <c r="A12" s="43" t="str">
        <f t="shared" si="1"/>
        <v/>
      </c>
      <c r="B12" s="44">
        <f t="shared" si="0"/>
        <v>37</v>
      </c>
      <c r="C12" s="49" t="s">
        <v>261</v>
      </c>
      <c r="D12" s="50" t="s">
        <v>262</v>
      </c>
      <c r="E12" s="51">
        <v>740</v>
      </c>
      <c r="F12" s="53">
        <v>66.071428571428569</v>
      </c>
      <c r="G12" s="51">
        <v>2000</v>
      </c>
      <c r="H12" s="51"/>
      <c r="I12" s="51"/>
      <c r="J12" s="51"/>
      <c r="K12" s="53"/>
      <c r="L12" s="51"/>
      <c r="M12" s="51"/>
      <c r="N12" s="51"/>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row>
    <row r="13" spans="1:40" ht="18.5" x14ac:dyDescent="0.35">
      <c r="A13" s="43" t="str">
        <f t="shared" si="1"/>
        <v/>
      </c>
      <c r="B13" s="44">
        <f t="shared" si="0"/>
        <v>55.706304868316039</v>
      </c>
      <c r="C13" s="49" t="s">
        <v>308</v>
      </c>
      <c r="D13" s="50" t="s">
        <v>309</v>
      </c>
      <c r="E13" s="51">
        <v>698</v>
      </c>
      <c r="F13" s="53">
        <v>60.854402789886656</v>
      </c>
      <c r="G13" s="51">
        <v>1253</v>
      </c>
      <c r="H13" s="51"/>
      <c r="I13" s="51"/>
      <c r="J13" s="51"/>
      <c r="K13" s="53"/>
      <c r="L13" s="51"/>
      <c r="M13" s="51"/>
      <c r="N13" s="51"/>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ht="18.5" x14ac:dyDescent="0.35">
      <c r="A14" s="43" t="str">
        <f t="shared" si="1"/>
        <v/>
      </c>
      <c r="B14" s="44">
        <f t="shared" si="0"/>
        <v>39.365773646801529</v>
      </c>
      <c r="C14" s="49" t="s">
        <v>204</v>
      </c>
      <c r="D14" s="50" t="s">
        <v>210</v>
      </c>
      <c r="E14" s="51">
        <v>720</v>
      </c>
      <c r="F14" s="53">
        <v>60</v>
      </c>
      <c r="G14" s="51">
        <v>1829</v>
      </c>
      <c r="H14" s="51"/>
      <c r="I14" s="51">
        <v>1008</v>
      </c>
      <c r="J14" s="51"/>
      <c r="K14" s="53"/>
      <c r="L14" s="51"/>
      <c r="M14" s="51"/>
      <c r="N14" s="51"/>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ht="18.5" x14ac:dyDescent="0.45">
      <c r="A15" s="43" t="str">
        <f t="shared" si="1"/>
        <v/>
      </c>
      <c r="B15" s="44">
        <f t="shared" si="0"/>
        <v>51.12903225806452</v>
      </c>
      <c r="C15" s="9" t="s">
        <v>306</v>
      </c>
      <c r="D15" t="s">
        <v>305</v>
      </c>
      <c r="E15" s="51">
        <v>634</v>
      </c>
      <c r="F15" s="53">
        <v>59.474671669793622</v>
      </c>
      <c r="G15" s="51">
        <v>1240</v>
      </c>
      <c r="H15" s="51"/>
      <c r="I15" s="51">
        <v>1154</v>
      </c>
      <c r="J15" s="51"/>
      <c r="K15" s="53"/>
      <c r="L15" s="51"/>
      <c r="M15" s="51"/>
      <c r="N15" s="51"/>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ht="18.5" x14ac:dyDescent="0.35">
      <c r="A16" s="43">
        <f t="shared" si="1"/>
        <v>180.55555555555554</v>
      </c>
      <c r="B16" s="44">
        <f t="shared" si="0"/>
        <v>50.709219858156025</v>
      </c>
      <c r="C16" s="49" t="s">
        <v>169</v>
      </c>
      <c r="D16" s="50" t="s">
        <v>170</v>
      </c>
      <c r="E16" s="51">
        <v>715</v>
      </c>
      <c r="F16" s="53">
        <v>58.201058201058203</v>
      </c>
      <c r="G16" s="51">
        <v>1410</v>
      </c>
      <c r="H16" s="51"/>
      <c r="I16" s="51">
        <v>775</v>
      </c>
      <c r="J16" s="51">
        <v>396</v>
      </c>
      <c r="K16" s="53">
        <v>32.234432234432234</v>
      </c>
      <c r="L16" s="51"/>
      <c r="M16" s="51"/>
      <c r="N16" s="51"/>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18.5" x14ac:dyDescent="0.45">
      <c r="A17" s="43" t="str">
        <f t="shared" si="1"/>
        <v/>
      </c>
      <c r="B17" s="44" t="str">
        <f t="shared" si="0"/>
        <v/>
      </c>
      <c r="C17" s="9" t="s">
        <v>659</v>
      </c>
      <c r="D17" t="s">
        <v>661</v>
      </c>
      <c r="E17" s="51">
        <v>660</v>
      </c>
      <c r="F17" s="53">
        <v>57.093425605536332</v>
      </c>
      <c r="G17" s="51"/>
      <c r="H17" s="51"/>
      <c r="I17" s="51"/>
      <c r="J17" s="51"/>
      <c r="K17" s="53"/>
      <c r="L17" s="51"/>
      <c r="M17" s="51"/>
      <c r="N17" s="51"/>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row>
    <row r="18" spans="1:40" ht="18.5" x14ac:dyDescent="0.35">
      <c r="A18" s="43" t="str">
        <f t="shared" si="1"/>
        <v/>
      </c>
      <c r="B18" s="44">
        <f t="shared" si="0"/>
        <v>38.399905038874707</v>
      </c>
      <c r="C18" s="49" t="s">
        <v>528</v>
      </c>
      <c r="D18" s="50" t="s">
        <v>562</v>
      </c>
      <c r="E18" s="51">
        <v>647</v>
      </c>
      <c r="F18" s="53">
        <v>55.727820844099917</v>
      </c>
      <c r="G18" s="51">
        <v>1684.9</v>
      </c>
      <c r="H18" s="51"/>
      <c r="I18" s="51"/>
      <c r="J18" s="51"/>
      <c r="K18" s="53"/>
      <c r="L18" s="51"/>
      <c r="M18" s="51"/>
      <c r="N18" s="51"/>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row>
    <row r="19" spans="1:40" ht="18.5" x14ac:dyDescent="0.35">
      <c r="A19" s="43" t="str">
        <f t="shared" si="1"/>
        <v/>
      </c>
      <c r="B19" s="44">
        <f t="shared" si="0"/>
        <v>27.763713080168777</v>
      </c>
      <c r="C19" s="49" t="s">
        <v>248</v>
      </c>
      <c r="D19" s="50" t="s">
        <v>249</v>
      </c>
      <c r="E19" s="51">
        <v>658</v>
      </c>
      <c r="F19" s="53">
        <v>52.056962025316452</v>
      </c>
      <c r="G19" s="51">
        <v>2370</v>
      </c>
      <c r="H19" s="51"/>
      <c r="I19" s="51"/>
      <c r="J19" s="51"/>
      <c r="K19" s="53"/>
      <c r="L19" s="51"/>
      <c r="M19" s="51"/>
      <c r="N19" s="51"/>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row>
    <row r="20" spans="1:40" ht="18.5" x14ac:dyDescent="0.35">
      <c r="A20" s="43">
        <f t="shared" si="1"/>
        <v>363.90977443609023</v>
      </c>
      <c r="B20" s="44">
        <f t="shared" si="0"/>
        <v>40.509210823659387</v>
      </c>
      <c r="C20" s="49" t="s">
        <v>331</v>
      </c>
      <c r="D20" s="50" t="s">
        <v>97</v>
      </c>
      <c r="E20" s="51">
        <v>484</v>
      </c>
      <c r="F20" s="53">
        <v>49.641025641025642</v>
      </c>
      <c r="G20" s="51">
        <v>1194.79</v>
      </c>
      <c r="H20" s="51"/>
      <c r="I20" s="51">
        <v>541.5</v>
      </c>
      <c r="J20" s="51">
        <v>133</v>
      </c>
      <c r="K20" s="53">
        <v>13.641025641025641</v>
      </c>
      <c r="L20" s="51">
        <v>1198.55</v>
      </c>
      <c r="M20" s="51"/>
      <c r="N20" s="51">
        <v>494.3</v>
      </c>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row>
    <row r="21" spans="1:40" ht="18.5" x14ac:dyDescent="0.35">
      <c r="A21" s="43" t="str">
        <f t="shared" si="1"/>
        <v/>
      </c>
      <c r="B21" s="44">
        <f t="shared" si="0"/>
        <v>27.180451127819548</v>
      </c>
      <c r="C21" s="49" t="s">
        <v>375</v>
      </c>
      <c r="D21" s="50" t="s">
        <v>429</v>
      </c>
      <c r="E21" s="51">
        <v>723</v>
      </c>
      <c r="F21" s="53">
        <v>48.588709677419352</v>
      </c>
      <c r="G21" s="51">
        <v>2660</v>
      </c>
      <c r="H21" s="51"/>
      <c r="I21" s="51"/>
      <c r="J21" s="51"/>
      <c r="K21" s="53"/>
      <c r="L21" s="51"/>
      <c r="M21" s="51"/>
      <c r="N21" s="51"/>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row>
    <row r="22" spans="1:40" ht="18.5" x14ac:dyDescent="0.35">
      <c r="A22" s="43" t="str">
        <f t="shared" si="1"/>
        <v/>
      </c>
      <c r="B22" s="44">
        <f t="shared" si="0"/>
        <v>39.636663914120561</v>
      </c>
      <c r="C22" s="49" t="s">
        <v>230</v>
      </c>
      <c r="D22" s="50" t="s">
        <v>231</v>
      </c>
      <c r="E22" s="51">
        <v>480</v>
      </c>
      <c r="F22" s="53">
        <v>43.478260869565219</v>
      </c>
      <c r="G22" s="51">
        <v>1211</v>
      </c>
      <c r="H22" s="51"/>
      <c r="I22" s="51">
        <v>718</v>
      </c>
      <c r="J22" s="51"/>
      <c r="K22" s="53"/>
      <c r="L22" s="51"/>
      <c r="M22" s="51"/>
      <c r="N22" s="51"/>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row>
    <row r="23" spans="1:40" ht="18.5" x14ac:dyDescent="0.45">
      <c r="A23" s="43" t="str">
        <f t="shared" si="1"/>
        <v/>
      </c>
      <c r="B23" s="44">
        <f t="shared" si="0"/>
        <v>20.59375</v>
      </c>
      <c r="C23" s="9" t="s">
        <v>349</v>
      </c>
      <c r="D23" t="s">
        <v>346</v>
      </c>
      <c r="E23" s="51">
        <v>659</v>
      </c>
      <c r="F23" s="53">
        <v>42.243589743589745</v>
      </c>
      <c r="G23" s="51">
        <v>3200</v>
      </c>
      <c r="H23" s="51"/>
      <c r="I23" s="51"/>
      <c r="J23" s="51"/>
      <c r="K23" s="53"/>
      <c r="L23" s="51"/>
      <c r="M23" s="51"/>
      <c r="N23" s="51"/>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row>
    <row r="24" spans="1:40" ht="18.5" x14ac:dyDescent="0.35">
      <c r="A24" s="43">
        <f t="shared" si="1"/>
        <v>174.79674796747966</v>
      </c>
      <c r="B24" s="44">
        <f t="shared" si="0"/>
        <v>30.06993006993007</v>
      </c>
      <c r="C24" s="49" t="s">
        <v>220</v>
      </c>
      <c r="D24" s="50" t="s">
        <v>221</v>
      </c>
      <c r="E24" s="51">
        <v>430</v>
      </c>
      <c r="F24" s="53">
        <v>37.719298245614034</v>
      </c>
      <c r="G24" s="51">
        <v>1430</v>
      </c>
      <c r="H24" s="51"/>
      <c r="I24" s="51">
        <v>1098</v>
      </c>
      <c r="J24" s="51">
        <v>246</v>
      </c>
      <c r="K24" s="53">
        <v>21.578947368421051</v>
      </c>
      <c r="L24" s="51">
        <v>1320</v>
      </c>
      <c r="M24" s="51"/>
      <c r="N24" s="51">
        <v>1063</v>
      </c>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row>
    <row r="25" spans="1:40" ht="18.5" x14ac:dyDescent="0.35">
      <c r="A25" s="43" t="str">
        <f t="shared" si="1"/>
        <v/>
      </c>
      <c r="B25" s="44" t="str">
        <f t="shared" si="0"/>
        <v/>
      </c>
      <c r="C25" s="49" t="s">
        <v>117</v>
      </c>
      <c r="D25" s="50" t="s">
        <v>118</v>
      </c>
      <c r="E25" s="35">
        <v>491</v>
      </c>
      <c r="F25" s="54">
        <v>36.861861861861861</v>
      </c>
      <c r="G25" s="35"/>
      <c r="H25" s="35"/>
      <c r="I25" s="35">
        <v>599</v>
      </c>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row>
    <row r="26" spans="1:40" ht="18.5" x14ac:dyDescent="0.35">
      <c r="A26" s="43" t="str">
        <f t="shared" si="1"/>
        <v/>
      </c>
      <c r="B26" s="44">
        <f t="shared" si="0"/>
        <v>25.405405405405407</v>
      </c>
      <c r="C26" s="49" t="s">
        <v>329</v>
      </c>
      <c r="D26" s="50" t="s">
        <v>85</v>
      </c>
      <c r="E26" s="51">
        <v>470</v>
      </c>
      <c r="F26" s="53">
        <v>36.153846153846153</v>
      </c>
      <c r="G26" s="51">
        <v>1850</v>
      </c>
      <c r="H26" s="51"/>
      <c r="I26" s="51">
        <v>1310</v>
      </c>
      <c r="J26" s="51"/>
      <c r="K26" s="53"/>
      <c r="L26" s="51"/>
      <c r="M26" s="51"/>
      <c r="N26" s="51"/>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row>
    <row r="27" spans="1:40" ht="18.5" x14ac:dyDescent="0.35">
      <c r="A27" s="43">
        <f t="shared" si="1"/>
        <v>162.61261261261262</v>
      </c>
      <c r="B27" s="44">
        <f t="shared" si="0"/>
        <v>23.141025641025642</v>
      </c>
      <c r="C27" s="49" t="s">
        <v>7</v>
      </c>
      <c r="D27" s="50" t="s">
        <v>55</v>
      </c>
      <c r="E27" s="51">
        <v>361</v>
      </c>
      <c r="F27" s="53">
        <v>35.742574257425744</v>
      </c>
      <c r="G27" s="51">
        <v>1560</v>
      </c>
      <c r="H27" s="51"/>
      <c r="I27" s="51">
        <v>1284</v>
      </c>
      <c r="J27" s="51">
        <v>222</v>
      </c>
      <c r="K27" s="53">
        <v>21.980198019801982</v>
      </c>
      <c r="L27" s="51">
        <v>124</v>
      </c>
      <c r="M27" s="51"/>
      <c r="N27" s="51"/>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row>
    <row r="28" spans="1:40" ht="18.5" x14ac:dyDescent="0.35">
      <c r="A28" s="43">
        <f t="shared" si="1"/>
        <v>140.74074074074073</v>
      </c>
      <c r="B28" s="44">
        <f t="shared" si="0"/>
        <v>44.271844660194176</v>
      </c>
      <c r="C28" s="49" t="s">
        <v>560</v>
      </c>
      <c r="D28" s="50" t="s">
        <v>561</v>
      </c>
      <c r="E28" s="51">
        <v>456</v>
      </c>
      <c r="F28" s="53">
        <v>31.318681318681318</v>
      </c>
      <c r="G28" s="51">
        <v>1030</v>
      </c>
      <c r="H28" s="51"/>
      <c r="I28" s="51"/>
      <c r="J28" s="51">
        <v>324</v>
      </c>
      <c r="K28" s="53">
        <v>22.252747252747252</v>
      </c>
      <c r="L28" s="51"/>
      <c r="M28" s="51"/>
      <c r="N28" s="51"/>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row>
    <row r="29" spans="1:40" ht="18.5" x14ac:dyDescent="0.35">
      <c r="A29" s="43">
        <f t="shared" si="1"/>
        <v>170.05076142131981</v>
      </c>
      <c r="B29" s="44">
        <f t="shared" si="0"/>
        <v>21.824104234527688</v>
      </c>
      <c r="C29" s="49" t="s">
        <v>136</v>
      </c>
      <c r="D29" s="50" t="s">
        <v>137</v>
      </c>
      <c r="E29" s="51">
        <v>335</v>
      </c>
      <c r="F29" s="53">
        <v>30.044843049327355</v>
      </c>
      <c r="G29" s="51">
        <v>1535</v>
      </c>
      <c r="H29" s="51">
        <v>285.5</v>
      </c>
      <c r="I29" s="51">
        <v>834</v>
      </c>
      <c r="J29" s="51">
        <v>197</v>
      </c>
      <c r="K29" s="53">
        <v>17.668161434977577</v>
      </c>
      <c r="L29" s="51">
        <v>1142</v>
      </c>
      <c r="M29" s="51"/>
      <c r="N29" s="51">
        <v>708</v>
      </c>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row>
    <row r="30" spans="1:40" ht="18.5" x14ac:dyDescent="0.45">
      <c r="A30" s="43" t="str">
        <f t="shared" si="1"/>
        <v/>
      </c>
      <c r="B30" s="44">
        <f t="shared" si="0"/>
        <v>18.00524934383202</v>
      </c>
      <c r="C30" s="9" t="s">
        <v>582</v>
      </c>
      <c r="D30" t="s">
        <v>610</v>
      </c>
      <c r="E30" s="35">
        <v>343</v>
      </c>
      <c r="F30" s="54">
        <v>27.84090909090909</v>
      </c>
      <c r="G30">
        <v>1905</v>
      </c>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row>
    <row r="31" spans="1:40" ht="18.5" x14ac:dyDescent="0.35">
      <c r="A31" s="43" t="str">
        <f t="shared" si="1"/>
        <v/>
      </c>
      <c r="B31" s="44" t="str">
        <f t="shared" si="0"/>
        <v/>
      </c>
      <c r="C31" s="49" t="s">
        <v>53</v>
      </c>
      <c r="D31" s="50" t="s">
        <v>54</v>
      </c>
      <c r="E31" s="51"/>
      <c r="F31" s="53"/>
      <c r="G31" s="51"/>
      <c r="H31" s="51"/>
      <c r="I31" s="51"/>
      <c r="J31" s="51"/>
      <c r="K31" s="53"/>
      <c r="L31" s="51"/>
      <c r="M31" s="51"/>
      <c r="N31" s="51"/>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row>
    <row r="32" spans="1:40" ht="18.5" x14ac:dyDescent="0.35">
      <c r="A32" s="43" t="str">
        <f t="shared" si="1"/>
        <v/>
      </c>
      <c r="B32" s="44" t="str">
        <f t="shared" si="0"/>
        <v/>
      </c>
      <c r="C32" s="49" t="s">
        <v>70</v>
      </c>
      <c r="D32" s="50" t="s">
        <v>71</v>
      </c>
      <c r="E32" s="51"/>
      <c r="F32" s="53"/>
      <c r="G32" s="51"/>
      <c r="H32" s="51"/>
      <c r="I32" s="51"/>
      <c r="J32" s="51"/>
      <c r="K32" s="53"/>
      <c r="L32" s="51"/>
      <c r="M32" s="51"/>
      <c r="N32" s="51"/>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row>
    <row r="33" spans="1:40" ht="18.5" x14ac:dyDescent="0.35">
      <c r="A33" s="43" t="str">
        <f t="shared" si="1"/>
        <v/>
      </c>
      <c r="B33" s="44" t="str">
        <f t="shared" si="0"/>
        <v/>
      </c>
      <c r="C33" s="49" t="s">
        <v>108</v>
      </c>
      <c r="D33" s="50" t="s">
        <v>109</v>
      </c>
      <c r="E33" s="51"/>
      <c r="F33" s="53"/>
      <c r="G33" s="51"/>
      <c r="H33" s="51"/>
      <c r="I33" s="51"/>
      <c r="J33" s="51"/>
      <c r="K33" s="53"/>
      <c r="L33" s="51"/>
      <c r="M33" s="51"/>
      <c r="N33" s="51"/>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row>
    <row r="34" spans="1:40" ht="18.5" x14ac:dyDescent="0.35">
      <c r="A34" s="43" t="str">
        <f t="shared" si="1"/>
        <v/>
      </c>
      <c r="B34" s="44" t="str">
        <f t="shared" si="0"/>
        <v/>
      </c>
      <c r="C34" s="49" t="s">
        <v>123</v>
      </c>
      <c r="D34" s="50" t="s">
        <v>151</v>
      </c>
      <c r="E34" s="51"/>
      <c r="F34" s="53"/>
      <c r="G34" s="51"/>
      <c r="H34" s="51"/>
      <c r="I34" s="51"/>
      <c r="J34" s="51"/>
      <c r="K34" s="53"/>
      <c r="L34" s="51"/>
      <c r="M34" s="51"/>
      <c r="N34" s="51"/>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row>
    <row r="35" spans="1:40" ht="18.5" x14ac:dyDescent="0.45">
      <c r="A35" s="43" t="str">
        <f t="shared" si="1"/>
        <v/>
      </c>
      <c r="B35" s="44" t="str">
        <f t="shared" si="0"/>
        <v/>
      </c>
      <c r="C35" s="46" t="s">
        <v>182</v>
      </c>
      <c r="D35" s="52" t="s">
        <v>183</v>
      </c>
      <c r="E35" s="51"/>
      <c r="F35" s="53"/>
      <c r="G35" s="51"/>
      <c r="H35" s="51"/>
      <c r="I35" s="51"/>
      <c r="J35" s="51"/>
      <c r="K35" s="53"/>
      <c r="L35" s="51"/>
      <c r="M35" s="51"/>
      <c r="N35" s="51"/>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row>
    <row r="36" spans="1:40" ht="18.5" x14ac:dyDescent="0.35">
      <c r="A36" s="43" t="str">
        <f t="shared" ref="A36:A64" si="2">IF(J36="","",100*E36/J36)</f>
        <v/>
      </c>
      <c r="B36" s="44" t="str">
        <f t="shared" ref="B36:B64" si="3">IF(G36="","",100*E36/G36)</f>
        <v/>
      </c>
      <c r="C36" s="49" t="s">
        <v>285</v>
      </c>
      <c r="D36" s="50" t="s">
        <v>286</v>
      </c>
      <c r="E36" s="51"/>
      <c r="F36" s="53"/>
      <c r="G36" s="51"/>
      <c r="H36" s="51"/>
      <c r="I36" s="51"/>
      <c r="J36" s="51"/>
      <c r="K36" s="53"/>
      <c r="L36" s="51"/>
      <c r="M36" s="51"/>
      <c r="N36" s="51"/>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row>
    <row r="37" spans="1:40" ht="18.5" x14ac:dyDescent="0.35">
      <c r="A37" s="43" t="str">
        <f t="shared" si="2"/>
        <v/>
      </c>
      <c r="B37" s="44" t="str">
        <f t="shared" si="3"/>
        <v/>
      </c>
      <c r="C37" s="49" t="s">
        <v>288</v>
      </c>
      <c r="D37" s="50" t="s">
        <v>289</v>
      </c>
      <c r="E37" s="51"/>
      <c r="F37" s="53"/>
      <c r="G37" s="51"/>
      <c r="H37" s="51"/>
      <c r="I37" s="51"/>
      <c r="J37" s="51"/>
      <c r="K37" s="53"/>
      <c r="L37" s="51"/>
      <c r="M37" s="51"/>
      <c r="N37" s="51"/>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row>
    <row r="38" spans="1:40" ht="18.5" x14ac:dyDescent="0.35">
      <c r="A38" s="43" t="str">
        <f t="shared" si="2"/>
        <v/>
      </c>
      <c r="B38" s="44" t="str">
        <f t="shared" si="3"/>
        <v/>
      </c>
      <c r="C38" s="49" t="s">
        <v>312</v>
      </c>
      <c r="D38" s="50" t="s">
        <v>313</v>
      </c>
      <c r="E38" s="35"/>
      <c r="F38" s="54"/>
      <c r="G38" s="35"/>
      <c r="H38" s="35"/>
      <c r="I38" s="35"/>
      <c r="J38" s="35"/>
      <c r="K38" s="54"/>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row>
    <row r="39" spans="1:40" ht="18.5" x14ac:dyDescent="0.35">
      <c r="A39" s="43" t="str">
        <f t="shared" si="2"/>
        <v/>
      </c>
      <c r="B39" s="44" t="str">
        <f t="shared" si="3"/>
        <v/>
      </c>
      <c r="C39" s="49" t="s">
        <v>304</v>
      </c>
      <c r="D39" s="50" t="s">
        <v>289</v>
      </c>
      <c r="E39" s="51"/>
      <c r="F39" s="53"/>
      <c r="G39" s="51"/>
      <c r="H39" s="51"/>
      <c r="I39" s="51"/>
      <c r="J39" s="51"/>
      <c r="K39" s="53"/>
      <c r="L39" s="51"/>
      <c r="M39" s="51"/>
      <c r="N39" s="51"/>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row>
    <row r="40" spans="1:40" ht="18.5" x14ac:dyDescent="0.35">
      <c r="A40" s="43" t="str">
        <f t="shared" si="2"/>
        <v/>
      </c>
      <c r="B40" s="44" t="str">
        <f t="shared" si="3"/>
        <v/>
      </c>
      <c r="C40" s="49" t="s">
        <v>641</v>
      </c>
      <c r="D40" s="50" t="s">
        <v>642</v>
      </c>
      <c r="E40" s="51"/>
      <c r="F40" s="53"/>
      <c r="G40" s="51"/>
      <c r="H40" s="51"/>
      <c r="I40" s="51"/>
      <c r="J40" s="51"/>
      <c r="K40" s="53"/>
      <c r="L40" s="51"/>
      <c r="M40" s="51"/>
      <c r="N40" s="51"/>
    </row>
    <row r="41" spans="1:40" x14ac:dyDescent="0.35">
      <c r="A41" s="43" t="str">
        <f t="shared" si="2"/>
        <v/>
      </c>
      <c r="B41" s="44" t="str">
        <f t="shared" si="3"/>
        <v/>
      </c>
      <c r="C41" t="s">
        <v>674</v>
      </c>
      <c r="D41" t="s">
        <v>675</v>
      </c>
    </row>
    <row r="42" spans="1:40" x14ac:dyDescent="0.35">
      <c r="A42" s="43" t="str">
        <f t="shared" si="2"/>
        <v/>
      </c>
      <c r="B42" s="44" t="str">
        <f t="shared" si="3"/>
        <v/>
      </c>
    </row>
    <row r="43" spans="1:40" x14ac:dyDescent="0.35">
      <c r="A43" s="43" t="str">
        <f t="shared" si="2"/>
        <v/>
      </c>
      <c r="B43" s="44" t="str">
        <f t="shared" si="3"/>
        <v/>
      </c>
    </row>
    <row r="44" spans="1:40" x14ac:dyDescent="0.35">
      <c r="A44" s="43" t="str">
        <f t="shared" si="2"/>
        <v/>
      </c>
      <c r="B44" s="44" t="str">
        <f t="shared" si="3"/>
        <v/>
      </c>
    </row>
    <row r="45" spans="1:40" x14ac:dyDescent="0.35">
      <c r="A45" s="43" t="str">
        <f t="shared" si="2"/>
        <v/>
      </c>
      <c r="B45" s="44" t="str">
        <f t="shared" si="3"/>
        <v/>
      </c>
    </row>
    <row r="46" spans="1:40" x14ac:dyDescent="0.35">
      <c r="A46" s="43" t="str">
        <f t="shared" si="2"/>
        <v/>
      </c>
      <c r="B46" s="44" t="str">
        <f t="shared" si="3"/>
        <v/>
      </c>
    </row>
    <row r="47" spans="1:40" x14ac:dyDescent="0.35">
      <c r="A47" s="43" t="str">
        <f t="shared" si="2"/>
        <v/>
      </c>
      <c r="B47" s="44" t="str">
        <f t="shared" si="3"/>
        <v/>
      </c>
    </row>
    <row r="48" spans="1:40" x14ac:dyDescent="0.35">
      <c r="A48" s="43" t="str">
        <f t="shared" si="2"/>
        <v/>
      </c>
      <c r="B48" s="44" t="str">
        <f t="shared" si="3"/>
        <v/>
      </c>
    </row>
    <row r="49" spans="1:2" x14ac:dyDescent="0.35">
      <c r="A49" s="43" t="str">
        <f t="shared" si="2"/>
        <v/>
      </c>
      <c r="B49" s="44" t="str">
        <f t="shared" si="3"/>
        <v/>
      </c>
    </row>
    <row r="50" spans="1:2" x14ac:dyDescent="0.35">
      <c r="A50" s="43" t="str">
        <f t="shared" si="2"/>
        <v/>
      </c>
      <c r="B50" s="44" t="str">
        <f t="shared" si="3"/>
        <v/>
      </c>
    </row>
    <row r="51" spans="1:2" x14ac:dyDescent="0.35">
      <c r="A51" s="43" t="str">
        <f t="shared" si="2"/>
        <v/>
      </c>
      <c r="B51" s="44" t="str">
        <f t="shared" si="3"/>
        <v/>
      </c>
    </row>
    <row r="52" spans="1:2" x14ac:dyDescent="0.35">
      <c r="A52" s="43" t="str">
        <f t="shared" si="2"/>
        <v/>
      </c>
      <c r="B52" s="44" t="str">
        <f t="shared" si="3"/>
        <v/>
      </c>
    </row>
    <row r="53" spans="1:2" x14ac:dyDescent="0.35">
      <c r="A53" s="43" t="str">
        <f t="shared" si="2"/>
        <v/>
      </c>
      <c r="B53" s="44" t="str">
        <f t="shared" si="3"/>
        <v/>
      </c>
    </row>
    <row r="54" spans="1:2" x14ac:dyDescent="0.35">
      <c r="A54" s="43" t="str">
        <f t="shared" si="2"/>
        <v/>
      </c>
      <c r="B54" s="44" t="str">
        <f t="shared" si="3"/>
        <v/>
      </c>
    </row>
    <row r="55" spans="1:2" x14ac:dyDescent="0.35">
      <c r="A55" s="43" t="str">
        <f t="shared" si="2"/>
        <v/>
      </c>
      <c r="B55" s="44" t="str">
        <f t="shared" si="3"/>
        <v/>
      </c>
    </row>
    <row r="56" spans="1:2" x14ac:dyDescent="0.35">
      <c r="A56" s="43" t="str">
        <f t="shared" si="2"/>
        <v/>
      </c>
      <c r="B56" s="44" t="str">
        <f t="shared" si="3"/>
        <v/>
      </c>
    </row>
    <row r="57" spans="1:2" x14ac:dyDescent="0.35">
      <c r="A57" s="43" t="str">
        <f t="shared" si="2"/>
        <v/>
      </c>
      <c r="B57" s="44" t="str">
        <f t="shared" si="3"/>
        <v/>
      </c>
    </row>
    <row r="58" spans="1:2" x14ac:dyDescent="0.35">
      <c r="A58" s="43" t="str">
        <f t="shared" si="2"/>
        <v/>
      </c>
      <c r="B58" s="44" t="str">
        <f t="shared" si="3"/>
        <v/>
      </c>
    </row>
    <row r="59" spans="1:2" x14ac:dyDescent="0.35">
      <c r="A59" s="43" t="str">
        <f t="shared" si="2"/>
        <v/>
      </c>
      <c r="B59" s="44" t="str">
        <f t="shared" si="3"/>
        <v/>
      </c>
    </row>
    <row r="60" spans="1:2" x14ac:dyDescent="0.35">
      <c r="A60" s="43" t="str">
        <f t="shared" si="2"/>
        <v/>
      </c>
      <c r="B60" s="44" t="str">
        <f t="shared" si="3"/>
        <v/>
      </c>
    </row>
    <row r="61" spans="1:2" x14ac:dyDescent="0.35">
      <c r="A61" s="43" t="str">
        <f t="shared" si="2"/>
        <v/>
      </c>
      <c r="B61" s="44" t="str">
        <f t="shared" si="3"/>
        <v/>
      </c>
    </row>
    <row r="62" spans="1:2" x14ac:dyDescent="0.35">
      <c r="A62" s="43" t="str">
        <f t="shared" si="2"/>
        <v/>
      </c>
      <c r="B62" s="44" t="str">
        <f t="shared" si="3"/>
        <v/>
      </c>
    </row>
    <row r="63" spans="1:2" x14ac:dyDescent="0.35">
      <c r="A63" s="43" t="str">
        <f t="shared" si="2"/>
        <v/>
      </c>
      <c r="B63" s="44" t="str">
        <f t="shared" si="3"/>
        <v/>
      </c>
    </row>
    <row r="64" spans="1:2" x14ac:dyDescent="0.35">
      <c r="A64" s="43" t="str">
        <f t="shared" si="2"/>
        <v/>
      </c>
      <c r="B64" s="44" t="str">
        <f t="shared" si="3"/>
        <v/>
      </c>
    </row>
  </sheetData>
  <sortState ref="C4:N41">
    <sortCondition descending="1" ref="F4:F41"/>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D4C1-A3B0-414F-A74B-A4AAF6F7DAA2}">
  <dimension ref="A1:L40"/>
  <sheetViews>
    <sheetView workbookViewId="0">
      <selection activeCell="A3" sqref="A3"/>
    </sheetView>
  </sheetViews>
  <sheetFormatPr defaultRowHeight="14.5" x14ac:dyDescent="0.35"/>
  <cols>
    <col min="1" max="1" width="14.08984375" customWidth="1"/>
    <col min="2" max="2" width="26.36328125" customWidth="1"/>
    <col min="3" max="3" width="17.7265625" customWidth="1"/>
    <col min="4" max="4" width="24.26953125" customWidth="1"/>
    <col min="5" max="5" width="25.54296875" customWidth="1"/>
  </cols>
  <sheetData>
    <row r="1" spans="1:12" ht="21" x14ac:dyDescent="0.5">
      <c r="A1" s="32" t="s">
        <v>410</v>
      </c>
    </row>
    <row r="2" spans="1:12" x14ac:dyDescent="0.35">
      <c r="A2" s="40" t="s">
        <v>365</v>
      </c>
      <c r="B2" s="40"/>
      <c r="C2" s="4" t="s">
        <v>333</v>
      </c>
      <c r="D2" s="4"/>
      <c r="E2" s="4"/>
      <c r="F2" s="4"/>
      <c r="G2" s="4"/>
      <c r="H2" s="4"/>
      <c r="I2" s="4"/>
      <c r="J2" s="4"/>
      <c r="K2" s="4"/>
      <c r="L2" s="4"/>
    </row>
    <row r="3" spans="1:12" ht="16.5" customHeight="1" x14ac:dyDescent="0.35">
      <c r="A3" t="s">
        <v>658</v>
      </c>
    </row>
    <row r="4" spans="1:12" ht="31.5" customHeight="1" x14ac:dyDescent="0.45">
      <c r="A4" s="9" t="s">
        <v>37</v>
      </c>
      <c r="B4" s="2" t="s">
        <v>38</v>
      </c>
      <c r="C4" s="12" t="s">
        <v>301</v>
      </c>
      <c r="D4" s="12" t="s">
        <v>307</v>
      </c>
      <c r="E4" s="12" t="s">
        <v>303</v>
      </c>
    </row>
    <row r="5" spans="1:12" ht="18.5" x14ac:dyDescent="0.35">
      <c r="A5" s="10" t="s">
        <v>240</v>
      </c>
      <c r="B5" s="16" t="s">
        <v>143</v>
      </c>
      <c r="C5" s="35">
        <v>42.7</v>
      </c>
      <c r="D5" s="38">
        <v>3.7456140350877196</v>
      </c>
      <c r="E5" t="s">
        <v>409</v>
      </c>
    </row>
    <row r="6" spans="1:12" ht="18.5" x14ac:dyDescent="0.35">
      <c r="A6" s="10" t="s">
        <v>26</v>
      </c>
      <c r="B6" s="22" t="s">
        <v>27</v>
      </c>
      <c r="C6" s="35">
        <v>31</v>
      </c>
      <c r="D6" s="38">
        <v>3.4368070953436809</v>
      </c>
      <c r="E6" t="s">
        <v>424</v>
      </c>
    </row>
    <row r="7" spans="1:12" ht="18.5" x14ac:dyDescent="0.35">
      <c r="A7" s="10" t="s">
        <v>312</v>
      </c>
      <c r="B7" s="16" t="s">
        <v>313</v>
      </c>
      <c r="C7" s="35">
        <v>32.799999999999997</v>
      </c>
      <c r="D7" s="38">
        <v>3.4166666666666665</v>
      </c>
      <c r="E7" t="s">
        <v>340</v>
      </c>
    </row>
    <row r="8" spans="1:12" ht="18.5" x14ac:dyDescent="0.35">
      <c r="A8" s="10" t="s">
        <v>169</v>
      </c>
      <c r="B8" s="22" t="s">
        <v>170</v>
      </c>
      <c r="C8" s="35">
        <v>39.299999999999997</v>
      </c>
      <c r="D8" s="38">
        <v>3.1990231990231988</v>
      </c>
    </row>
    <row r="9" spans="1:12" ht="18.5" x14ac:dyDescent="0.45">
      <c r="A9" s="9" t="s">
        <v>35</v>
      </c>
      <c r="B9" t="s">
        <v>57</v>
      </c>
      <c r="C9" s="35">
        <v>42</v>
      </c>
      <c r="D9" s="38">
        <v>3.1042128603104215</v>
      </c>
      <c r="E9" t="s">
        <v>336</v>
      </c>
    </row>
    <row r="10" spans="1:12" ht="18.5" x14ac:dyDescent="0.35">
      <c r="A10" s="10" t="s">
        <v>306</v>
      </c>
      <c r="B10" s="16" t="s">
        <v>305</v>
      </c>
      <c r="C10" s="35">
        <v>31.3</v>
      </c>
      <c r="D10" s="38">
        <v>2.9362101313320825</v>
      </c>
      <c r="E10" t="s">
        <v>338</v>
      </c>
    </row>
    <row r="11" spans="1:12" ht="18.5" x14ac:dyDescent="0.35">
      <c r="A11" s="10" t="s">
        <v>331</v>
      </c>
      <c r="B11" s="16" t="s">
        <v>97</v>
      </c>
      <c r="C11" s="35">
        <v>27.6</v>
      </c>
      <c r="D11" s="38">
        <v>2.8307692307692309</v>
      </c>
    </row>
    <row r="12" spans="1:12" ht="18.5" x14ac:dyDescent="0.35">
      <c r="A12" s="10" t="s">
        <v>248</v>
      </c>
      <c r="B12" s="22" t="s">
        <v>249</v>
      </c>
      <c r="C12" s="35">
        <v>34.700000000000003</v>
      </c>
      <c r="D12" s="38">
        <v>2.7452531645569622</v>
      </c>
      <c r="E12" t="s">
        <v>315</v>
      </c>
    </row>
    <row r="13" spans="1:12" ht="18.5" x14ac:dyDescent="0.35">
      <c r="A13" s="10" t="s">
        <v>152</v>
      </c>
      <c r="B13" s="16" t="s">
        <v>159</v>
      </c>
      <c r="C13" s="35">
        <v>32.700000000000003</v>
      </c>
      <c r="D13" s="38">
        <v>2.7432885906040272</v>
      </c>
      <c r="E13" t="s">
        <v>361</v>
      </c>
    </row>
    <row r="14" spans="1:12" ht="18.5" x14ac:dyDescent="0.35">
      <c r="A14" s="10" t="s">
        <v>53</v>
      </c>
      <c r="B14" s="22" t="s">
        <v>54</v>
      </c>
      <c r="C14" s="35">
        <v>28.5</v>
      </c>
      <c r="D14" s="38">
        <v>2.1111111111111112</v>
      </c>
      <c r="E14" t="s">
        <v>363</v>
      </c>
    </row>
    <row r="15" spans="1:12" ht="18.5" x14ac:dyDescent="0.35">
      <c r="A15" s="10" t="s">
        <v>123</v>
      </c>
      <c r="B15" s="22" t="s">
        <v>151</v>
      </c>
      <c r="C15" s="35">
        <v>17.8</v>
      </c>
      <c r="D15" s="38">
        <v>2.0843091334894615</v>
      </c>
    </row>
    <row r="16" spans="1:12" ht="18.5" x14ac:dyDescent="0.35">
      <c r="A16" s="10" t="s">
        <v>7</v>
      </c>
      <c r="B16" s="22" t="s">
        <v>55</v>
      </c>
      <c r="C16" s="35">
        <v>21</v>
      </c>
      <c r="D16" s="38">
        <v>2.0792079207920793</v>
      </c>
      <c r="E16" t="s">
        <v>337</v>
      </c>
    </row>
    <row r="17" spans="1:5" ht="18.5" x14ac:dyDescent="0.35">
      <c r="A17" s="10" t="s">
        <v>230</v>
      </c>
      <c r="B17" s="16" t="s">
        <v>231</v>
      </c>
      <c r="C17" s="35">
        <v>22.5</v>
      </c>
      <c r="D17" s="38">
        <v>2.0380434782608696</v>
      </c>
      <c r="E17" t="s">
        <v>314</v>
      </c>
    </row>
    <row r="18" spans="1:5" ht="18.5" x14ac:dyDescent="0.35">
      <c r="A18" s="10" t="s">
        <v>261</v>
      </c>
      <c r="B18" s="22" t="s">
        <v>262</v>
      </c>
      <c r="C18" s="35">
        <v>20</v>
      </c>
      <c r="D18" s="38">
        <v>1.7857142857142858</v>
      </c>
      <c r="E18" t="s">
        <v>302</v>
      </c>
    </row>
    <row r="19" spans="1:5" ht="18.5" x14ac:dyDescent="0.35">
      <c r="A19" s="10" t="s">
        <v>288</v>
      </c>
      <c r="B19" s="22" t="s">
        <v>289</v>
      </c>
      <c r="C19" s="35">
        <v>21.1</v>
      </c>
      <c r="D19" s="38">
        <v>1.7583333333333335</v>
      </c>
    </row>
    <row r="20" spans="1:5" ht="18.5" x14ac:dyDescent="0.35">
      <c r="A20" s="10" t="s">
        <v>329</v>
      </c>
      <c r="B20" s="16" t="s">
        <v>85</v>
      </c>
      <c r="C20" s="35">
        <v>21.5</v>
      </c>
      <c r="D20" s="38">
        <v>1.6538461538461537</v>
      </c>
      <c r="E20" t="s">
        <v>311</v>
      </c>
    </row>
    <row r="21" spans="1:5" ht="18.5" x14ac:dyDescent="0.35">
      <c r="A21" s="10" t="s">
        <v>304</v>
      </c>
      <c r="B21" s="16" t="s">
        <v>289</v>
      </c>
      <c r="C21" s="35">
        <v>16.399999999999999</v>
      </c>
      <c r="D21" s="38">
        <v>1.5769230769230766</v>
      </c>
      <c r="E21" t="s">
        <v>373</v>
      </c>
    </row>
    <row r="22" spans="1:5" ht="18.5" x14ac:dyDescent="0.35">
      <c r="A22" s="10" t="s">
        <v>136</v>
      </c>
      <c r="B22" s="22" t="s">
        <v>137</v>
      </c>
      <c r="C22" s="35">
        <v>15.7</v>
      </c>
      <c r="D22" s="38">
        <v>1.4080717488789236</v>
      </c>
      <c r="E22" t="s">
        <v>341</v>
      </c>
    </row>
    <row r="23" spans="1:5" ht="18.5" x14ac:dyDescent="0.35">
      <c r="A23" s="10" t="s">
        <v>17</v>
      </c>
      <c r="B23" s="16" t="s">
        <v>56</v>
      </c>
      <c r="C23" s="35">
        <v>7.43</v>
      </c>
      <c r="D23" s="38">
        <v>0.55948795180722888</v>
      </c>
      <c r="E23" t="s">
        <v>412</v>
      </c>
    </row>
    <row r="24" spans="1:5" ht="18.5" x14ac:dyDescent="0.35">
      <c r="A24" s="10" t="s">
        <v>220</v>
      </c>
      <c r="B24" s="22" t="s">
        <v>221</v>
      </c>
      <c r="C24" s="35">
        <v>6.31</v>
      </c>
      <c r="D24" s="38">
        <v>0.55350877192982451</v>
      </c>
      <c r="E24" t="s">
        <v>343</v>
      </c>
    </row>
    <row r="25" spans="1:5" ht="18.5" x14ac:dyDescent="0.35">
      <c r="A25" s="10" t="s">
        <v>308</v>
      </c>
      <c r="B25" s="22" t="s">
        <v>309</v>
      </c>
      <c r="C25" s="35">
        <v>5.8</v>
      </c>
      <c r="D25" s="38">
        <v>0.52727272727272723</v>
      </c>
      <c r="E25" t="s">
        <v>310</v>
      </c>
    </row>
    <row r="26" spans="1:5" ht="18.5" x14ac:dyDescent="0.35">
      <c r="A26" s="10" t="s">
        <v>349</v>
      </c>
      <c r="B26" s="16" t="s">
        <v>346</v>
      </c>
      <c r="C26" s="35">
        <v>8.2200000000000006</v>
      </c>
      <c r="D26" s="38">
        <v>0.52692307692307694</v>
      </c>
      <c r="E26" t="s">
        <v>350</v>
      </c>
    </row>
    <row r="27" spans="1:5" ht="18.5" x14ac:dyDescent="0.35">
      <c r="A27" s="10" t="s">
        <v>70</v>
      </c>
      <c r="B27" s="16" t="s">
        <v>71</v>
      </c>
      <c r="C27" s="35"/>
      <c r="D27" s="35"/>
    </row>
    <row r="28" spans="1:5" ht="18.5" x14ac:dyDescent="0.45">
      <c r="A28" s="9" t="s">
        <v>108</v>
      </c>
      <c r="B28" t="s">
        <v>109</v>
      </c>
      <c r="C28" s="35"/>
      <c r="D28" s="35"/>
    </row>
    <row r="29" spans="1:5" ht="18.5" x14ac:dyDescent="0.35">
      <c r="A29" s="10" t="s">
        <v>117</v>
      </c>
      <c r="B29" s="16" t="s">
        <v>118</v>
      </c>
      <c r="C29" s="35"/>
      <c r="D29" s="35"/>
    </row>
    <row r="30" spans="1:5" ht="18.5" x14ac:dyDescent="0.35">
      <c r="A30" s="10" t="s">
        <v>142</v>
      </c>
      <c r="B30" s="16" t="s">
        <v>143</v>
      </c>
      <c r="C30" s="35"/>
      <c r="D30" s="35"/>
    </row>
    <row r="31" spans="1:5" ht="18.5" x14ac:dyDescent="0.35">
      <c r="A31" s="10" t="s">
        <v>172</v>
      </c>
      <c r="B31" s="16" t="s">
        <v>173</v>
      </c>
      <c r="C31" s="35"/>
      <c r="D31" s="35"/>
    </row>
    <row r="32" spans="1:5" ht="18.5" x14ac:dyDescent="0.35">
      <c r="A32" s="10" t="s">
        <v>182</v>
      </c>
      <c r="B32" s="16" t="s">
        <v>183</v>
      </c>
      <c r="C32" s="35"/>
      <c r="D32" s="35"/>
    </row>
    <row r="33" spans="1:4" ht="18.5" x14ac:dyDescent="0.35">
      <c r="A33" s="10" t="s">
        <v>201</v>
      </c>
      <c r="B33" s="16" t="s">
        <v>202</v>
      </c>
      <c r="C33" s="35"/>
      <c r="D33" s="35"/>
    </row>
    <row r="34" spans="1:4" ht="18.5" x14ac:dyDescent="0.35">
      <c r="A34" s="10" t="s">
        <v>204</v>
      </c>
      <c r="B34" s="22" t="s">
        <v>210</v>
      </c>
      <c r="C34" s="35"/>
      <c r="D34" s="35"/>
    </row>
    <row r="35" spans="1:4" ht="18.5" x14ac:dyDescent="0.35">
      <c r="A35" s="10" t="s">
        <v>285</v>
      </c>
      <c r="B35" s="16" t="s">
        <v>286</v>
      </c>
      <c r="C35" s="35"/>
      <c r="D35" s="35"/>
    </row>
    <row r="36" spans="1:4" ht="18.5" x14ac:dyDescent="0.45">
      <c r="A36" s="9" t="s">
        <v>375</v>
      </c>
      <c r="B36" t="s">
        <v>429</v>
      </c>
      <c r="C36" s="35"/>
      <c r="D36" s="35"/>
    </row>
    <row r="37" spans="1:4" ht="18.5" x14ac:dyDescent="0.45">
      <c r="A37" s="9" t="s">
        <v>560</v>
      </c>
      <c r="B37" t="s">
        <v>561</v>
      </c>
      <c r="C37" s="35"/>
      <c r="D37" s="35"/>
    </row>
    <row r="38" spans="1:4" ht="18.5" x14ac:dyDescent="0.45">
      <c r="A38" s="9" t="s">
        <v>528</v>
      </c>
      <c r="B38" t="s">
        <v>562</v>
      </c>
      <c r="C38" s="35"/>
      <c r="D38" s="35"/>
    </row>
    <row r="39" spans="1:4" ht="18.5" x14ac:dyDescent="0.45">
      <c r="A39" s="9" t="s">
        <v>582</v>
      </c>
      <c r="B39" t="s">
        <v>610</v>
      </c>
      <c r="C39" s="35"/>
      <c r="D39" s="35"/>
    </row>
    <row r="40" spans="1:4" ht="18.5" x14ac:dyDescent="0.45">
      <c r="A40" s="9" t="s">
        <v>641</v>
      </c>
      <c r="B40" t="s">
        <v>642</v>
      </c>
      <c r="C40" s="35"/>
      <c r="D40" s="35"/>
    </row>
  </sheetData>
  <sortState ref="A5:E40">
    <sortCondition descending="1" ref="D5:D40"/>
  </sortState>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66046-E5D3-424A-ACFA-AA55CC1ECEAC}">
  <dimension ref="A1:L40"/>
  <sheetViews>
    <sheetView workbookViewId="0">
      <selection activeCell="A3" sqref="A3"/>
    </sheetView>
  </sheetViews>
  <sheetFormatPr defaultRowHeight="14.5" x14ac:dyDescent="0.35"/>
  <cols>
    <col min="1" max="1" width="13.453125" customWidth="1"/>
    <col min="2" max="2" width="26.1796875" customWidth="1"/>
    <col min="3" max="3" width="17.453125" customWidth="1"/>
    <col min="4" max="4" width="24.1796875" customWidth="1"/>
    <col min="5" max="5" width="22.6328125" customWidth="1"/>
  </cols>
  <sheetData>
    <row r="1" spans="1:12" ht="21" x14ac:dyDescent="0.5">
      <c r="A1" s="32" t="s">
        <v>327</v>
      </c>
    </row>
    <row r="2" spans="1:12" x14ac:dyDescent="0.35">
      <c r="A2" s="40" t="s">
        <v>365</v>
      </c>
      <c r="B2" s="40"/>
      <c r="C2" s="4" t="s">
        <v>333</v>
      </c>
      <c r="D2" s="4"/>
      <c r="E2" s="4"/>
      <c r="F2" s="4"/>
      <c r="G2" s="4"/>
      <c r="H2" s="4"/>
      <c r="I2" s="4"/>
      <c r="J2" s="4"/>
      <c r="K2" s="4"/>
      <c r="L2" s="4"/>
    </row>
    <row r="3" spans="1:12" x14ac:dyDescent="0.35">
      <c r="A3" t="s">
        <v>658</v>
      </c>
    </row>
    <row r="4" spans="1:12" ht="33.5" customHeight="1" x14ac:dyDescent="0.45">
      <c r="A4" s="9" t="s">
        <v>37</v>
      </c>
      <c r="B4" s="2" t="s">
        <v>38</v>
      </c>
      <c r="C4" s="12" t="s">
        <v>317</v>
      </c>
      <c r="D4" s="12" t="s">
        <v>318</v>
      </c>
      <c r="E4" s="12" t="s">
        <v>319</v>
      </c>
    </row>
    <row r="5" spans="1:12" ht="18.5" x14ac:dyDescent="0.35">
      <c r="A5" s="33" t="s">
        <v>220</v>
      </c>
      <c r="B5" s="16" t="s">
        <v>221</v>
      </c>
      <c r="C5" s="35">
        <v>8.07</v>
      </c>
      <c r="D5" s="38">
        <v>0.70789473684210524</v>
      </c>
      <c r="E5" s="37" t="s">
        <v>344</v>
      </c>
    </row>
    <row r="6" spans="1:12" ht="18.5" x14ac:dyDescent="0.35">
      <c r="A6" s="33" t="s">
        <v>312</v>
      </c>
      <c r="B6" s="16" t="s">
        <v>313</v>
      </c>
      <c r="C6" s="35">
        <v>5.32</v>
      </c>
      <c r="D6" s="38">
        <v>0.5541666666666667</v>
      </c>
      <c r="E6" s="37" t="s">
        <v>335</v>
      </c>
    </row>
    <row r="7" spans="1:12" ht="18.5" x14ac:dyDescent="0.35">
      <c r="A7" s="33" t="s">
        <v>152</v>
      </c>
      <c r="B7" s="16" t="s">
        <v>159</v>
      </c>
      <c r="C7" s="35">
        <v>6.5</v>
      </c>
      <c r="D7" s="38">
        <v>0.54530201342281881</v>
      </c>
      <c r="E7" s="37" t="s">
        <v>362</v>
      </c>
    </row>
    <row r="8" spans="1:12" ht="18.5" x14ac:dyDescent="0.35">
      <c r="A8" s="33" t="s">
        <v>329</v>
      </c>
      <c r="B8" s="16" t="s">
        <v>85</v>
      </c>
      <c r="C8" s="35">
        <v>6.5</v>
      </c>
      <c r="D8" s="38">
        <v>0.5</v>
      </c>
      <c r="E8" s="37" t="s">
        <v>330</v>
      </c>
    </row>
    <row r="9" spans="1:12" ht="18.5" x14ac:dyDescent="0.35">
      <c r="A9" s="33" t="s">
        <v>349</v>
      </c>
      <c r="B9" s="16" t="s">
        <v>346</v>
      </c>
      <c r="C9" s="35">
        <v>7.51</v>
      </c>
      <c r="D9" s="38">
        <v>0.48141025641025642</v>
      </c>
      <c r="E9" s="37" t="s">
        <v>351</v>
      </c>
    </row>
    <row r="10" spans="1:12" ht="18.5" x14ac:dyDescent="0.35">
      <c r="A10" s="33" t="s">
        <v>35</v>
      </c>
      <c r="B10" s="16" t="s">
        <v>57</v>
      </c>
      <c r="C10" s="35">
        <v>5.5</v>
      </c>
      <c r="D10" s="38">
        <v>0.40650406504065045</v>
      </c>
      <c r="E10" s="37" t="s">
        <v>328</v>
      </c>
    </row>
    <row r="11" spans="1:12" ht="18.5" x14ac:dyDescent="0.35">
      <c r="A11" s="33" t="s">
        <v>17</v>
      </c>
      <c r="B11" s="16" t="s">
        <v>56</v>
      </c>
      <c r="C11" s="35">
        <v>5.32</v>
      </c>
      <c r="D11" s="38">
        <v>0.40060240963855426</v>
      </c>
      <c r="E11" s="37" t="s">
        <v>409</v>
      </c>
    </row>
    <row r="12" spans="1:12" ht="18.5" x14ac:dyDescent="0.35">
      <c r="A12" s="33" t="s">
        <v>230</v>
      </c>
      <c r="B12" s="16" t="s">
        <v>231</v>
      </c>
      <c r="C12" s="35">
        <v>4.0999999999999996</v>
      </c>
      <c r="D12" s="38">
        <v>0.37137681159420288</v>
      </c>
      <c r="E12" s="37" t="s">
        <v>334</v>
      </c>
    </row>
    <row r="13" spans="1:12" ht="18.5" x14ac:dyDescent="0.35">
      <c r="A13" s="33" t="s">
        <v>53</v>
      </c>
      <c r="B13" s="16" t="s">
        <v>54</v>
      </c>
      <c r="C13" s="35">
        <v>4.83</v>
      </c>
      <c r="D13" s="38">
        <v>0.35777777777777781</v>
      </c>
      <c r="E13" s="37" t="s">
        <v>364</v>
      </c>
    </row>
    <row r="14" spans="1:12" ht="18.5" x14ac:dyDescent="0.35">
      <c r="A14" s="33" t="s">
        <v>26</v>
      </c>
      <c r="B14" s="16" t="s">
        <v>27</v>
      </c>
      <c r="C14" s="35">
        <v>3.21</v>
      </c>
      <c r="D14" s="38">
        <v>0.3558758314855876</v>
      </c>
      <c r="E14" s="37">
        <v>42.47</v>
      </c>
    </row>
    <row r="15" spans="1:12" ht="18.5" x14ac:dyDescent="0.35">
      <c r="A15" s="33" t="s">
        <v>288</v>
      </c>
      <c r="B15" s="16" t="s">
        <v>289</v>
      </c>
      <c r="C15" s="35">
        <v>3.72</v>
      </c>
      <c r="D15" s="38">
        <v>0.31</v>
      </c>
      <c r="E15" s="37"/>
    </row>
    <row r="16" spans="1:12" ht="18.5" x14ac:dyDescent="0.35">
      <c r="A16" s="33" t="s">
        <v>136</v>
      </c>
      <c r="B16" s="16" t="s">
        <v>137</v>
      </c>
      <c r="C16" s="35">
        <v>3.4</v>
      </c>
      <c r="D16" s="38">
        <v>0.30493273542600896</v>
      </c>
      <c r="E16" s="37" t="s">
        <v>342</v>
      </c>
    </row>
    <row r="17" spans="1:5" ht="18.5" x14ac:dyDescent="0.35">
      <c r="A17" s="33" t="s">
        <v>304</v>
      </c>
      <c r="B17" s="16" t="s">
        <v>289</v>
      </c>
      <c r="C17" s="35">
        <v>3.04</v>
      </c>
      <c r="D17" s="38">
        <v>0.29230769230769232</v>
      </c>
      <c r="E17" s="37" t="s">
        <v>372</v>
      </c>
    </row>
    <row r="18" spans="1:5" ht="18.5" x14ac:dyDescent="0.35">
      <c r="A18" s="33" t="s">
        <v>240</v>
      </c>
      <c r="B18" s="16" t="s">
        <v>143</v>
      </c>
      <c r="C18" s="35">
        <v>2.65</v>
      </c>
      <c r="D18" s="38">
        <v>0.23245614035087717</v>
      </c>
      <c r="E18" s="37" t="s">
        <v>408</v>
      </c>
    </row>
    <row r="19" spans="1:5" ht="18.5" x14ac:dyDescent="0.35">
      <c r="A19" s="33" t="s">
        <v>7</v>
      </c>
      <c r="B19" s="16" t="s">
        <v>55</v>
      </c>
      <c r="C19" s="35">
        <v>2.14</v>
      </c>
      <c r="D19" s="38">
        <v>0.2118811881188119</v>
      </c>
      <c r="E19" s="37" t="s">
        <v>345</v>
      </c>
    </row>
    <row r="20" spans="1:5" ht="18.5" x14ac:dyDescent="0.35">
      <c r="A20" s="33" t="s">
        <v>169</v>
      </c>
      <c r="B20" s="16" t="s">
        <v>170</v>
      </c>
      <c r="C20" s="35">
        <v>2.2999999999999998</v>
      </c>
      <c r="D20" s="38">
        <v>0.18722018722018721</v>
      </c>
      <c r="E20" s="37"/>
    </row>
    <row r="21" spans="1:5" ht="18.5" x14ac:dyDescent="0.35">
      <c r="A21" s="33" t="s">
        <v>248</v>
      </c>
      <c r="B21" s="16" t="s">
        <v>249</v>
      </c>
      <c r="C21" s="35">
        <v>1.5</v>
      </c>
      <c r="D21" s="38">
        <v>0.11867088607594936</v>
      </c>
      <c r="E21" s="37" t="s">
        <v>374</v>
      </c>
    </row>
    <row r="22" spans="1:5" ht="18.5" x14ac:dyDescent="0.35">
      <c r="A22" s="33" t="s">
        <v>306</v>
      </c>
      <c r="B22" s="16" t="s">
        <v>305</v>
      </c>
      <c r="C22" s="35">
        <v>0.98</v>
      </c>
      <c r="D22" s="38">
        <v>9.193245778611632E-2</v>
      </c>
      <c r="E22" s="37" t="s">
        <v>339</v>
      </c>
    </row>
    <row r="23" spans="1:5" ht="18.5" x14ac:dyDescent="0.35">
      <c r="A23" s="33" t="s">
        <v>331</v>
      </c>
      <c r="B23" s="16" t="s">
        <v>97</v>
      </c>
      <c r="C23" s="35">
        <v>0.70199999999999996</v>
      </c>
      <c r="D23" s="38">
        <v>7.1999999999999995E-2</v>
      </c>
      <c r="E23" s="37" t="s">
        <v>332</v>
      </c>
    </row>
    <row r="24" spans="1:5" ht="18.5" x14ac:dyDescent="0.35">
      <c r="A24" s="33" t="s">
        <v>70</v>
      </c>
      <c r="B24" s="16" t="s">
        <v>71</v>
      </c>
    </row>
    <row r="25" spans="1:5" ht="18.5" x14ac:dyDescent="0.35">
      <c r="A25" s="33" t="s">
        <v>108</v>
      </c>
      <c r="B25" s="16" t="s">
        <v>109</v>
      </c>
    </row>
    <row r="26" spans="1:5" ht="18.5" x14ac:dyDescent="0.35">
      <c r="A26" s="33" t="s">
        <v>117</v>
      </c>
      <c r="B26" s="16" t="s">
        <v>118</v>
      </c>
    </row>
    <row r="27" spans="1:5" ht="18.5" x14ac:dyDescent="0.35">
      <c r="A27" s="33" t="s">
        <v>142</v>
      </c>
      <c r="B27" s="16" t="s">
        <v>143</v>
      </c>
    </row>
    <row r="28" spans="1:5" ht="18.5" x14ac:dyDescent="0.35">
      <c r="A28" s="33" t="s">
        <v>123</v>
      </c>
      <c r="B28" s="16" t="s">
        <v>151</v>
      </c>
    </row>
    <row r="29" spans="1:5" ht="18.5" x14ac:dyDescent="0.45">
      <c r="A29" s="9" t="s">
        <v>172</v>
      </c>
      <c r="B29" s="37" t="s">
        <v>173</v>
      </c>
    </row>
    <row r="30" spans="1:5" ht="18.5" x14ac:dyDescent="0.35">
      <c r="A30" s="33" t="s">
        <v>182</v>
      </c>
      <c r="B30" s="16" t="s">
        <v>183</v>
      </c>
    </row>
    <row r="31" spans="1:5" ht="18.5" x14ac:dyDescent="0.35">
      <c r="A31" s="33" t="s">
        <v>201</v>
      </c>
      <c r="B31" s="16" t="s">
        <v>202</v>
      </c>
    </row>
    <row r="32" spans="1:5" ht="18.5" x14ac:dyDescent="0.35">
      <c r="A32" s="33" t="s">
        <v>204</v>
      </c>
      <c r="B32" s="16" t="s">
        <v>210</v>
      </c>
    </row>
    <row r="33" spans="1:2" ht="18.5" x14ac:dyDescent="0.35">
      <c r="A33" s="33" t="s">
        <v>261</v>
      </c>
      <c r="B33" s="16" t="s">
        <v>262</v>
      </c>
    </row>
    <row r="34" spans="1:2" ht="18.5" x14ac:dyDescent="0.35">
      <c r="A34" s="33" t="s">
        <v>285</v>
      </c>
      <c r="B34" s="16" t="s">
        <v>286</v>
      </c>
    </row>
    <row r="35" spans="1:2" ht="18.5" x14ac:dyDescent="0.35">
      <c r="A35" s="33" t="s">
        <v>308</v>
      </c>
      <c r="B35" s="16" t="s">
        <v>309</v>
      </c>
    </row>
    <row r="36" spans="1:2" ht="18.5" x14ac:dyDescent="0.45">
      <c r="A36" s="9" t="s">
        <v>375</v>
      </c>
      <c r="B36" t="s">
        <v>429</v>
      </c>
    </row>
    <row r="37" spans="1:2" ht="18.5" x14ac:dyDescent="0.45">
      <c r="A37" s="9" t="s">
        <v>560</v>
      </c>
      <c r="B37" t="s">
        <v>561</v>
      </c>
    </row>
    <row r="38" spans="1:2" ht="18.5" x14ac:dyDescent="0.45">
      <c r="A38" s="9" t="s">
        <v>528</v>
      </c>
      <c r="B38" t="s">
        <v>562</v>
      </c>
    </row>
    <row r="39" spans="1:2" ht="18.5" x14ac:dyDescent="0.45">
      <c r="A39" s="9" t="s">
        <v>582</v>
      </c>
      <c r="B39" t="s">
        <v>610</v>
      </c>
    </row>
    <row r="40" spans="1:2" ht="18.5" x14ac:dyDescent="0.45">
      <c r="A40" s="9" t="s">
        <v>641</v>
      </c>
      <c r="B40" t="s">
        <v>642</v>
      </c>
    </row>
  </sheetData>
  <sortState ref="A5:E40">
    <sortCondition descending="1" ref="D5:D40"/>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SE_2023</vt:lpstr>
      <vt:lpstr>SE_2023_WORK</vt:lpstr>
      <vt:lpstr>21_DEC_2024</vt:lpstr>
      <vt:lpstr>Maj_2024</vt:lpstr>
      <vt:lpstr>April_2024</vt:lpstr>
      <vt:lpstr>Marec_2024</vt:lpstr>
      <vt:lpstr>Februar_2024</vt:lpstr>
      <vt:lpstr>Januar_2024</vt:lpstr>
      <vt:lpstr>Pridelek_16jan24</vt:lpstr>
      <vt:lpstr>Pridelek_17jan24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dc:creator>
  <cp:lastModifiedBy>viktor</cp:lastModifiedBy>
  <dcterms:created xsi:type="dcterms:W3CDTF">2023-12-31T17:00:42Z</dcterms:created>
  <dcterms:modified xsi:type="dcterms:W3CDTF">2026-05-06T06:52:58Z</dcterms:modified>
</cp:coreProperties>
</file>